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/>
  <mc:AlternateContent xmlns:mc="http://schemas.openxmlformats.org/markup-compatibility/2006">
    <mc:Choice Requires="x15">
      <x15ac:absPath xmlns:x15ac="http://schemas.microsoft.com/office/spreadsheetml/2010/11/ac" url="https://d.docs.live.net/1d4857e8b0d31655/Área de Trabalho/"/>
    </mc:Choice>
  </mc:AlternateContent>
  <xr:revisionPtr revIDLastSave="0" documentId="8_{4AE474C7-461F-4976-B469-ADB2049900C5}" xr6:coauthVersionLast="47" xr6:coauthVersionMax="47" xr10:uidLastSave="{00000000-0000-0000-0000-000000000000}"/>
  <bookViews>
    <workbookView xWindow="-120" yWindow="-120" windowWidth="29040" windowHeight="15720" tabRatio="500" firstSheet="12" activeTab="12" xr2:uid="{00000000-000D-0000-FFFF-FFFF00000000}"/>
  </bookViews>
  <sheets>
    <sheet name="PARÂMETROS" sheetId="1" state="hidden" r:id="rId1"/>
    <sheet name="TABELA-RESUMO" sheetId="6" r:id="rId2"/>
    <sheet name="BASE APOIO-NOTAS EXPLICATIVAS " sheetId="2" r:id="rId3"/>
    <sheet name="VALOR POSTOS MÊS " sheetId="3" r:id="rId4"/>
    <sheet name="CERTIFICADO DIGITAL" sheetId="4" state="hidden" r:id="rId5"/>
    <sheet name="FARDAMENTO" sheetId="5" state="hidden" r:id="rId6"/>
    <sheet name="UNIFORMES - BASE DE PREÇOS" sheetId="7" state="hidden" r:id="rId7"/>
    <sheet name="CUSTOS - SERVIÇO DE GARÇONARIA" sheetId="8" state="hidden" r:id="rId8"/>
    <sheet name="CUSTO COM RELÓGIO DE PONTO" sheetId="9" state="hidden" r:id="rId9"/>
    <sheet name="INSUMOS-EQUIPAMENTOS " sheetId="10" state="hidden" r:id="rId10"/>
    <sheet name="CADASTRO V-T e ISS" sheetId="11" r:id="rId11"/>
    <sheet name="CUSTO POR MUNICÍPIO" sheetId="12" r:id="rId12"/>
    <sheet name="RESUMO CONSOLIDADO" sheetId="13" r:id="rId13"/>
  </sheets>
  <externalReferences>
    <externalReference r:id="rId14"/>
  </externalReferences>
  <definedNames>
    <definedName name="_xlnm._FilterDatabase" localSheetId="8" hidden="1">'CUSTO COM RELÓGIO DE PONTO'!$A$3:$M$10</definedName>
    <definedName name="_xlnm.Print_Area" localSheetId="8">'CUSTO COM RELÓGIO DE PONTO'!$A$1:$M$14</definedName>
    <definedName name="_xlnm.Print_Area" localSheetId="1">'TABELA-RESUMO'!$A$2:$N$17</definedName>
    <definedName name="_xlnm.Print_Area" localSheetId="3">'VALOR POSTOS MÊS '!$B$19:$B$143</definedName>
    <definedName name="Excel_BuiltIn__FilterDatabase_1">#REF!</definedName>
    <definedName name="Excel_BuiltIn__FilterDatabase_1_1">NA()</definedName>
    <definedName name="Excel_BuiltIn__FilterDatabase_1_1_1">NA()</definedName>
    <definedName name="Excel_BuiltIn__FilterDatabase_1_1_1_3">NA()</definedName>
    <definedName name="Excel_BuiltIn__FilterDatabase_1_1_1_4">#REF!</definedName>
    <definedName name="Excel_BuiltIn__FilterDatabase_1_1_3">NA()</definedName>
    <definedName name="Excel_BuiltIn__FilterDatabase_1_1_4">#REF!</definedName>
    <definedName name="Excel_BuiltIn__FilterDatabase_2">#REF!</definedName>
    <definedName name="Excel_BuiltIn__FilterDatabase_3">NA()</definedName>
    <definedName name="Excel_BuiltIn__FilterDatabase_4_1">#REF!</definedName>
    <definedName name="Excel_BuiltIn__FilterDatabase_9">"NA()"</definedName>
    <definedName name="Excel_BuiltIn__FilterDatabase_9_1">"NA()"</definedName>
    <definedName name="Excel_BuiltIn_Print_Area_1_1" localSheetId="1">'TABELA-RESUMO'!$A$2:$M$17</definedName>
    <definedName name="Excel_BuiltIn_Print_Area_1_1">#REF!</definedName>
    <definedName name="Excel_BuiltIn_Print_Area_1_1_1" localSheetId="1">'TABELA-RESUMO'!$A$2:$M$17</definedName>
    <definedName name="Excel_BuiltIn_Print_Area_1_1_1">#REF!</definedName>
    <definedName name="Excel_BuiltIn_Print_Area_1_1_1_1" localSheetId="1">'TABELA-RESUMO'!$A$2:$M$17</definedName>
    <definedName name="Excel_BuiltIn_Print_Area_1_1_1_1">#REF!</definedName>
    <definedName name="Excel_BuiltIn_Print_Area_2_1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4_1">#REF!</definedName>
    <definedName name="Excel_BuiltIn_Print_Area_4_1_1">#REF!</definedName>
    <definedName name="Excel_BuiltIn_Print_Area_4_1_1_1">#REF!</definedName>
    <definedName name="Excel_BuiltIn_Print_Area_5">#REF!</definedName>
    <definedName name="Excel_BuiltIn_Print_Area_5_1">#REF!</definedName>
    <definedName name="Excel_BuiltIn_Print_Area_5_1_1">#REF!</definedName>
    <definedName name="Excel_BuiltIn_Print_Area_5_1_1_1">#REF!</definedName>
    <definedName name="Excel_BuiltIn_Print_Area_5_1_1_1_1">NA()</definedName>
    <definedName name="Excel_BuiltIn_Print_Area_6">NA()</definedName>
    <definedName name="Excel_BuiltIn_Print_Titles_1">#REF!</definedName>
    <definedName name="Excel_BuiltIn_Print_Titles_1_1_1_1">#REF!</definedName>
    <definedName name="Excel_BuiltIn_Print_Titles_2_1">#REF!</definedName>
    <definedName name="Excel_BuiltIn_Print_Titles_2_1_1">#REF!</definedName>
    <definedName name="Excel_BuiltIn_Print_Titles_3_1_1_1">#REF!</definedName>
    <definedName name="Excel_BuiltIn_Print_Titles_3_1_1_1_1">#REF!</definedName>
    <definedName name="Excel_BuiltIn_Print_Titles_4_1">#REF!</definedName>
    <definedName name="Excel_BuiltIn_Print_Titles_5_1">#REF!</definedName>
    <definedName name="Excel_BuiltIn_Print_Titles_5_1_1">#REF!</definedName>
    <definedName name="familias_equipamentos" localSheetId="3">'[1]Base Apoio - etapa 1'!#REF!</definedName>
    <definedName name="familias_equipamentos">'[1]Base Apoio - etapa 1'!#REF!</definedName>
    <definedName name="GARÇOM">#REF!</definedName>
    <definedName name="materiais">[1]Fontes!$F$3:$F$9</definedName>
    <definedName name="percentuais">[1]Fontes!$C$1:$C$3</definedName>
    <definedName name="Sim_não">[1]Fontes!$A$1:$A$2</definedName>
    <definedName name="TEC_MAN_HOSP.">#REF!</definedName>
    <definedName name="_xlnm.Print_Titles" localSheetId="8">'CUSTO COM RELÓGIO DE PONTO'!$1:$3</definedName>
    <definedName name="tributaçao">'[1]Base Apoio - etapa 1'!$F$20:$H$20</definedName>
    <definedName name="Tributação" localSheetId="3">#REF!</definedName>
    <definedName name="Tributação">#REF!</definedName>
    <definedName name="TW_Regime">PARÂMETROS!$D$4:$D$6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84" i="3" l="1"/>
  <c r="G84" i="3"/>
  <c r="H84" i="3"/>
  <c r="I84" i="3"/>
  <c r="J84" i="3"/>
  <c r="K84" i="3"/>
  <c r="L84" i="3"/>
  <c r="E84" i="3"/>
  <c r="M6" i="12"/>
  <c r="C6" i="12"/>
  <c r="D188" i="13"/>
  <c r="B188" i="13"/>
  <c r="A188" i="13"/>
  <c r="D187" i="13"/>
  <c r="B187" i="13"/>
  <c r="A187" i="13"/>
  <c r="D186" i="13"/>
  <c r="B186" i="13"/>
  <c r="A186" i="13"/>
  <c r="D185" i="13"/>
  <c r="B185" i="13"/>
  <c r="A185" i="13"/>
  <c r="D184" i="13"/>
  <c r="B184" i="13"/>
  <c r="A184" i="13"/>
  <c r="D183" i="13"/>
  <c r="B183" i="13"/>
  <c r="A183" i="13"/>
  <c r="D182" i="13"/>
  <c r="B182" i="13"/>
  <c r="A182" i="13"/>
  <c r="D181" i="13"/>
  <c r="B181" i="13"/>
  <c r="A181" i="13"/>
  <c r="D180" i="13"/>
  <c r="B180" i="13"/>
  <c r="A180" i="13"/>
  <c r="D179" i="13"/>
  <c r="B179" i="13"/>
  <c r="A179" i="13"/>
  <c r="D178" i="13"/>
  <c r="B178" i="13"/>
  <c r="A178" i="13"/>
  <c r="D177" i="13"/>
  <c r="B177" i="13"/>
  <c r="A177" i="13"/>
  <c r="D176" i="13"/>
  <c r="B176" i="13"/>
  <c r="A176" i="13"/>
  <c r="D175" i="13"/>
  <c r="B175" i="13"/>
  <c r="A175" i="13"/>
  <c r="D174" i="13"/>
  <c r="B174" i="13"/>
  <c r="A174" i="13"/>
  <c r="D173" i="13"/>
  <c r="B173" i="13"/>
  <c r="A173" i="13"/>
  <c r="D172" i="13"/>
  <c r="B172" i="13"/>
  <c r="A172" i="13"/>
  <c r="D171" i="13"/>
  <c r="B171" i="13"/>
  <c r="A171" i="13"/>
  <c r="D170" i="13"/>
  <c r="B170" i="13"/>
  <c r="A170" i="13"/>
  <c r="D169" i="13"/>
  <c r="B169" i="13"/>
  <c r="A169" i="13"/>
  <c r="D168" i="13"/>
  <c r="B168" i="13"/>
  <c r="A168" i="13"/>
  <c r="D167" i="13"/>
  <c r="B167" i="13"/>
  <c r="A167" i="13"/>
  <c r="D166" i="13"/>
  <c r="B166" i="13"/>
  <c r="A166" i="13"/>
  <c r="D165" i="13"/>
  <c r="B165" i="13"/>
  <c r="A165" i="13"/>
  <c r="D164" i="13"/>
  <c r="B164" i="13"/>
  <c r="A164" i="13"/>
  <c r="D163" i="13"/>
  <c r="B163" i="13"/>
  <c r="A163" i="13"/>
  <c r="D162" i="13"/>
  <c r="B162" i="13"/>
  <c r="A162" i="13"/>
  <c r="D161" i="13"/>
  <c r="B161" i="13"/>
  <c r="A161" i="13"/>
  <c r="D160" i="13"/>
  <c r="B160" i="13"/>
  <c r="A160" i="13"/>
  <c r="D159" i="13"/>
  <c r="B159" i="13"/>
  <c r="A159" i="13"/>
  <c r="D158" i="13"/>
  <c r="B158" i="13"/>
  <c r="A158" i="13"/>
  <c r="D157" i="13"/>
  <c r="B157" i="13"/>
  <c r="A157" i="13"/>
  <c r="D156" i="13"/>
  <c r="B156" i="13"/>
  <c r="A156" i="13"/>
  <c r="D155" i="13"/>
  <c r="B155" i="13"/>
  <c r="A155" i="13"/>
  <c r="D154" i="13"/>
  <c r="B154" i="13"/>
  <c r="A154" i="13"/>
  <c r="D153" i="13"/>
  <c r="B153" i="13"/>
  <c r="A153" i="13"/>
  <c r="D152" i="13"/>
  <c r="B152" i="13"/>
  <c r="A152" i="13"/>
  <c r="D151" i="13"/>
  <c r="B151" i="13"/>
  <c r="A151" i="13"/>
  <c r="D150" i="13"/>
  <c r="B150" i="13"/>
  <c r="A150" i="13"/>
  <c r="D149" i="13"/>
  <c r="B149" i="13"/>
  <c r="A149" i="13"/>
  <c r="D148" i="13"/>
  <c r="B148" i="13"/>
  <c r="A148" i="13"/>
  <c r="D147" i="13"/>
  <c r="B147" i="13"/>
  <c r="A147" i="13"/>
  <c r="D146" i="13"/>
  <c r="B146" i="13"/>
  <c r="A146" i="13"/>
  <c r="D145" i="13"/>
  <c r="B145" i="13"/>
  <c r="A145" i="13"/>
  <c r="D144" i="13"/>
  <c r="B144" i="13"/>
  <c r="A144" i="13"/>
  <c r="D143" i="13"/>
  <c r="B143" i="13"/>
  <c r="A143" i="13"/>
  <c r="D142" i="13"/>
  <c r="B142" i="13"/>
  <c r="A142" i="13"/>
  <c r="D141" i="13"/>
  <c r="B141" i="13"/>
  <c r="A141" i="13"/>
  <c r="D140" i="13"/>
  <c r="B140" i="13"/>
  <c r="A140" i="13"/>
  <c r="D139" i="13"/>
  <c r="B139" i="13"/>
  <c r="A139" i="13"/>
  <c r="D138" i="13"/>
  <c r="B138" i="13"/>
  <c r="A138" i="13"/>
  <c r="D137" i="13"/>
  <c r="B137" i="13"/>
  <c r="A137" i="13"/>
  <c r="D136" i="13"/>
  <c r="B136" i="13"/>
  <c r="A136" i="13"/>
  <c r="D135" i="13"/>
  <c r="B135" i="13"/>
  <c r="A135" i="13"/>
  <c r="D134" i="13"/>
  <c r="B134" i="13"/>
  <c r="A134" i="13"/>
  <c r="D133" i="13"/>
  <c r="B133" i="13"/>
  <c r="A133" i="13"/>
  <c r="D132" i="13"/>
  <c r="B132" i="13"/>
  <c r="A132" i="13"/>
  <c r="D131" i="13"/>
  <c r="B131" i="13"/>
  <c r="A131" i="13"/>
  <c r="D130" i="13"/>
  <c r="B130" i="13"/>
  <c r="A130" i="13"/>
  <c r="D129" i="13"/>
  <c r="B129" i="13"/>
  <c r="A129" i="13"/>
  <c r="D128" i="13"/>
  <c r="B128" i="13"/>
  <c r="A128" i="13"/>
  <c r="D127" i="13"/>
  <c r="B127" i="13"/>
  <c r="A127" i="13"/>
  <c r="D126" i="13"/>
  <c r="B126" i="13"/>
  <c r="A126" i="13"/>
  <c r="D125" i="13"/>
  <c r="B125" i="13"/>
  <c r="A125" i="13"/>
  <c r="D124" i="13"/>
  <c r="B124" i="13"/>
  <c r="A124" i="13"/>
  <c r="D123" i="13"/>
  <c r="B123" i="13"/>
  <c r="A123" i="13"/>
  <c r="D122" i="13"/>
  <c r="B122" i="13"/>
  <c r="A122" i="13"/>
  <c r="D121" i="13"/>
  <c r="B121" i="13"/>
  <c r="A121" i="13"/>
  <c r="D120" i="13"/>
  <c r="B120" i="13"/>
  <c r="A120" i="13"/>
  <c r="D119" i="13"/>
  <c r="B119" i="13"/>
  <c r="A119" i="13"/>
  <c r="D118" i="13"/>
  <c r="B118" i="13"/>
  <c r="A118" i="13"/>
  <c r="D117" i="13"/>
  <c r="B117" i="13"/>
  <c r="A117" i="13"/>
  <c r="D116" i="13"/>
  <c r="B116" i="13"/>
  <c r="A116" i="13"/>
  <c r="D115" i="13"/>
  <c r="B115" i="13"/>
  <c r="A115" i="13"/>
  <c r="D114" i="13"/>
  <c r="B114" i="13"/>
  <c r="A114" i="13"/>
  <c r="D113" i="13"/>
  <c r="B113" i="13"/>
  <c r="A113" i="13"/>
  <c r="D112" i="13"/>
  <c r="B112" i="13"/>
  <c r="A112" i="13"/>
  <c r="D111" i="13"/>
  <c r="B111" i="13"/>
  <c r="A111" i="13"/>
  <c r="D110" i="13"/>
  <c r="B110" i="13"/>
  <c r="A110" i="13"/>
  <c r="D109" i="13"/>
  <c r="B109" i="13"/>
  <c r="A109" i="13"/>
  <c r="D108" i="13"/>
  <c r="B108" i="13"/>
  <c r="A108" i="13"/>
  <c r="D107" i="13"/>
  <c r="B107" i="13"/>
  <c r="A107" i="13"/>
  <c r="D106" i="13"/>
  <c r="B106" i="13"/>
  <c r="A106" i="13"/>
  <c r="D105" i="13"/>
  <c r="B105" i="13"/>
  <c r="A105" i="13"/>
  <c r="D104" i="13"/>
  <c r="B104" i="13"/>
  <c r="A104" i="13"/>
  <c r="D103" i="13"/>
  <c r="B103" i="13"/>
  <c r="A103" i="13"/>
  <c r="D102" i="13"/>
  <c r="B102" i="13"/>
  <c r="A102" i="13"/>
  <c r="D101" i="13"/>
  <c r="B101" i="13"/>
  <c r="A101" i="13"/>
  <c r="D100" i="13"/>
  <c r="B100" i="13"/>
  <c r="A100" i="13"/>
  <c r="D99" i="13"/>
  <c r="B99" i="13"/>
  <c r="A99" i="13"/>
  <c r="D98" i="13"/>
  <c r="B98" i="13"/>
  <c r="A98" i="13"/>
  <c r="D97" i="13"/>
  <c r="B97" i="13"/>
  <c r="A97" i="13"/>
  <c r="D96" i="13"/>
  <c r="B96" i="13"/>
  <c r="A96" i="13"/>
  <c r="D95" i="13"/>
  <c r="B95" i="13"/>
  <c r="A95" i="13"/>
  <c r="D94" i="13"/>
  <c r="B94" i="13"/>
  <c r="A94" i="13"/>
  <c r="D93" i="13"/>
  <c r="B93" i="13"/>
  <c r="A93" i="13"/>
  <c r="D92" i="13"/>
  <c r="B92" i="13"/>
  <c r="A92" i="13"/>
  <c r="D91" i="13"/>
  <c r="B91" i="13"/>
  <c r="A91" i="13"/>
  <c r="D90" i="13"/>
  <c r="B90" i="13"/>
  <c r="A90" i="13"/>
  <c r="D89" i="13"/>
  <c r="B89" i="13"/>
  <c r="A89" i="13"/>
  <c r="D88" i="13"/>
  <c r="B88" i="13"/>
  <c r="A88" i="13"/>
  <c r="D87" i="13"/>
  <c r="B87" i="13"/>
  <c r="A87" i="13"/>
  <c r="D86" i="13"/>
  <c r="B86" i="13"/>
  <c r="A86" i="13"/>
  <c r="D85" i="13"/>
  <c r="B85" i="13"/>
  <c r="A85" i="13"/>
  <c r="D84" i="13"/>
  <c r="B84" i="13"/>
  <c r="A84" i="13"/>
  <c r="D83" i="13"/>
  <c r="B83" i="13"/>
  <c r="A83" i="13"/>
  <c r="D82" i="13"/>
  <c r="B82" i="13"/>
  <c r="A82" i="13"/>
  <c r="D81" i="13"/>
  <c r="B81" i="13"/>
  <c r="A81" i="13"/>
  <c r="D80" i="13"/>
  <c r="B80" i="13"/>
  <c r="A80" i="13"/>
  <c r="D79" i="13"/>
  <c r="B79" i="13"/>
  <c r="A79" i="13"/>
  <c r="D78" i="13"/>
  <c r="B78" i="13"/>
  <c r="A78" i="13"/>
  <c r="D77" i="13"/>
  <c r="B77" i="13"/>
  <c r="A77" i="13"/>
  <c r="D76" i="13"/>
  <c r="B76" i="13"/>
  <c r="A76" i="13"/>
  <c r="D75" i="13"/>
  <c r="B75" i="13"/>
  <c r="A75" i="13"/>
  <c r="D74" i="13"/>
  <c r="B74" i="13"/>
  <c r="A74" i="13"/>
  <c r="D73" i="13"/>
  <c r="B73" i="13"/>
  <c r="A73" i="13"/>
  <c r="D72" i="13"/>
  <c r="B72" i="13"/>
  <c r="A72" i="13"/>
  <c r="D71" i="13"/>
  <c r="B71" i="13"/>
  <c r="A71" i="13"/>
  <c r="D70" i="13"/>
  <c r="B70" i="13"/>
  <c r="A70" i="13"/>
  <c r="D69" i="13"/>
  <c r="B69" i="13"/>
  <c r="A69" i="13"/>
  <c r="D68" i="13"/>
  <c r="B68" i="13"/>
  <c r="A68" i="13"/>
  <c r="D67" i="13"/>
  <c r="B67" i="13"/>
  <c r="A67" i="13"/>
  <c r="D66" i="13"/>
  <c r="B66" i="13"/>
  <c r="A66" i="13"/>
  <c r="D65" i="13"/>
  <c r="B65" i="13"/>
  <c r="A65" i="13"/>
  <c r="D64" i="13"/>
  <c r="B64" i="13"/>
  <c r="A64" i="13"/>
  <c r="D63" i="13"/>
  <c r="B63" i="13"/>
  <c r="A63" i="13"/>
  <c r="D62" i="13"/>
  <c r="B62" i="13"/>
  <c r="A62" i="13"/>
  <c r="D61" i="13"/>
  <c r="B61" i="13"/>
  <c r="A61" i="13"/>
  <c r="D60" i="13"/>
  <c r="B60" i="13"/>
  <c r="A60" i="13"/>
  <c r="D59" i="13"/>
  <c r="B59" i="13"/>
  <c r="A59" i="13"/>
  <c r="D58" i="13"/>
  <c r="B58" i="13"/>
  <c r="A58" i="13"/>
  <c r="D57" i="13"/>
  <c r="B57" i="13"/>
  <c r="A57" i="13"/>
  <c r="D56" i="13"/>
  <c r="B56" i="13"/>
  <c r="A56" i="13"/>
  <c r="D55" i="13"/>
  <c r="B55" i="13"/>
  <c r="A55" i="13"/>
  <c r="D54" i="13"/>
  <c r="B54" i="13"/>
  <c r="A54" i="13"/>
  <c r="D53" i="13"/>
  <c r="B53" i="13"/>
  <c r="A53" i="13"/>
  <c r="D52" i="13"/>
  <c r="B52" i="13"/>
  <c r="A52" i="13"/>
  <c r="D51" i="13"/>
  <c r="B51" i="13"/>
  <c r="A51" i="13"/>
  <c r="D50" i="13"/>
  <c r="B50" i="13"/>
  <c r="A50" i="13"/>
  <c r="D49" i="13"/>
  <c r="B49" i="13"/>
  <c r="A49" i="13"/>
  <c r="D48" i="13"/>
  <c r="B48" i="13"/>
  <c r="A48" i="13"/>
  <c r="D47" i="13"/>
  <c r="B47" i="13"/>
  <c r="A47" i="13"/>
  <c r="D46" i="13"/>
  <c r="B46" i="13"/>
  <c r="A46" i="13"/>
  <c r="D45" i="13"/>
  <c r="B45" i="13"/>
  <c r="A45" i="13"/>
  <c r="D44" i="13"/>
  <c r="B44" i="13"/>
  <c r="A44" i="13"/>
  <c r="D43" i="13"/>
  <c r="B43" i="13"/>
  <c r="A43" i="13"/>
  <c r="D42" i="13"/>
  <c r="B42" i="13"/>
  <c r="A42" i="13"/>
  <c r="D41" i="13"/>
  <c r="B41" i="13"/>
  <c r="A41" i="13"/>
  <c r="D40" i="13"/>
  <c r="B40" i="13"/>
  <c r="A40" i="13"/>
  <c r="D39" i="13"/>
  <c r="B39" i="13"/>
  <c r="A39" i="13"/>
  <c r="D38" i="13"/>
  <c r="B38" i="13"/>
  <c r="A38" i="13"/>
  <c r="D37" i="13"/>
  <c r="B37" i="13"/>
  <c r="A37" i="13"/>
  <c r="D36" i="13"/>
  <c r="B36" i="13"/>
  <c r="A36" i="13"/>
  <c r="D35" i="13"/>
  <c r="B35" i="13"/>
  <c r="A35" i="13"/>
  <c r="D34" i="13"/>
  <c r="B34" i="13"/>
  <c r="A34" i="13"/>
  <c r="D33" i="13"/>
  <c r="B33" i="13"/>
  <c r="A33" i="13"/>
  <c r="D32" i="13"/>
  <c r="B32" i="13"/>
  <c r="A32" i="13"/>
  <c r="D31" i="13"/>
  <c r="B31" i="13"/>
  <c r="A31" i="13"/>
  <c r="D30" i="13"/>
  <c r="B30" i="13"/>
  <c r="A30" i="13"/>
  <c r="D29" i="13"/>
  <c r="B29" i="13"/>
  <c r="A29" i="13"/>
  <c r="D28" i="13"/>
  <c r="B28" i="13"/>
  <c r="A28" i="13"/>
  <c r="D27" i="13"/>
  <c r="B27" i="13"/>
  <c r="A27" i="13"/>
  <c r="D26" i="13"/>
  <c r="B26" i="13"/>
  <c r="A26" i="13"/>
  <c r="D25" i="13"/>
  <c r="B25" i="13"/>
  <c r="A25" i="13"/>
  <c r="D24" i="13"/>
  <c r="B24" i="13"/>
  <c r="A24" i="13"/>
  <c r="D23" i="13"/>
  <c r="B23" i="13"/>
  <c r="A23" i="13"/>
  <c r="D22" i="13"/>
  <c r="B22" i="13"/>
  <c r="A22" i="13"/>
  <c r="D21" i="13"/>
  <c r="B21" i="13"/>
  <c r="A21" i="13"/>
  <c r="D20" i="13"/>
  <c r="B20" i="13"/>
  <c r="A20" i="13"/>
  <c r="D19" i="13"/>
  <c r="B19" i="13"/>
  <c r="A19" i="13"/>
  <c r="D18" i="13"/>
  <c r="B18" i="13"/>
  <c r="A18" i="13"/>
  <c r="D17" i="13"/>
  <c r="B17" i="13"/>
  <c r="A17" i="13"/>
  <c r="D16" i="13"/>
  <c r="B16" i="13"/>
  <c r="A16" i="13"/>
  <c r="D15" i="13"/>
  <c r="B15" i="13"/>
  <c r="A15" i="13"/>
  <c r="D14" i="13"/>
  <c r="B14" i="13"/>
  <c r="A14" i="13"/>
  <c r="D13" i="13"/>
  <c r="B13" i="13"/>
  <c r="A13" i="13"/>
  <c r="D12" i="13"/>
  <c r="B12" i="13"/>
  <c r="A12" i="13"/>
  <c r="D11" i="13"/>
  <c r="B11" i="13"/>
  <c r="A11" i="13"/>
  <c r="D10" i="13"/>
  <c r="B10" i="13"/>
  <c r="A10" i="13"/>
  <c r="D9" i="13"/>
  <c r="B9" i="13"/>
  <c r="A9" i="13"/>
  <c r="D8" i="13"/>
  <c r="B8" i="13"/>
  <c r="A8" i="13"/>
  <c r="D7" i="13"/>
  <c r="B7" i="13"/>
  <c r="A7" i="13"/>
  <c r="D6" i="13"/>
  <c r="B6" i="13"/>
  <c r="A6" i="13"/>
  <c r="D5" i="13"/>
  <c r="B5" i="13"/>
  <c r="A5" i="13"/>
  <c r="T189" i="12"/>
  <c r="S189" i="12"/>
  <c r="R189" i="12"/>
  <c r="Q189" i="12"/>
  <c r="P189" i="12"/>
  <c r="O189" i="12"/>
  <c r="N189" i="12"/>
  <c r="M189" i="12"/>
  <c r="D189" i="12"/>
  <c r="C189" i="12"/>
  <c r="B189" i="12"/>
  <c r="A189" i="12"/>
  <c r="T188" i="12"/>
  <c r="S188" i="12"/>
  <c r="R188" i="12"/>
  <c r="Q188" i="12"/>
  <c r="P188" i="12"/>
  <c r="O188" i="12"/>
  <c r="N188" i="12"/>
  <c r="M188" i="12"/>
  <c r="D188" i="12"/>
  <c r="C188" i="12"/>
  <c r="B188" i="12"/>
  <c r="A188" i="12"/>
  <c r="T187" i="12"/>
  <c r="S187" i="12"/>
  <c r="R187" i="12"/>
  <c r="Q187" i="12"/>
  <c r="P187" i="12"/>
  <c r="O187" i="12"/>
  <c r="N187" i="12"/>
  <c r="M187" i="12"/>
  <c r="D187" i="12"/>
  <c r="C187" i="12"/>
  <c r="B187" i="12"/>
  <c r="A187" i="12"/>
  <c r="T186" i="12"/>
  <c r="S186" i="12"/>
  <c r="R186" i="12"/>
  <c r="Q186" i="12"/>
  <c r="P186" i="12"/>
  <c r="O186" i="12"/>
  <c r="N186" i="12"/>
  <c r="M186" i="12"/>
  <c r="D186" i="12"/>
  <c r="C186" i="12"/>
  <c r="B186" i="12"/>
  <c r="A186" i="12"/>
  <c r="T185" i="12"/>
  <c r="S185" i="12"/>
  <c r="R185" i="12"/>
  <c r="Q185" i="12"/>
  <c r="P185" i="12"/>
  <c r="O185" i="12"/>
  <c r="N185" i="12"/>
  <c r="M185" i="12"/>
  <c r="D185" i="12"/>
  <c r="C185" i="12"/>
  <c r="B185" i="12"/>
  <c r="A185" i="12"/>
  <c r="T184" i="12"/>
  <c r="S184" i="12"/>
  <c r="R184" i="12"/>
  <c r="Q184" i="12"/>
  <c r="P184" i="12"/>
  <c r="O184" i="12"/>
  <c r="N184" i="12"/>
  <c r="M184" i="12"/>
  <c r="D184" i="12"/>
  <c r="C184" i="12"/>
  <c r="B184" i="12"/>
  <c r="A184" i="12"/>
  <c r="T183" i="12"/>
  <c r="S183" i="12"/>
  <c r="R183" i="12"/>
  <c r="Q183" i="12"/>
  <c r="P183" i="12"/>
  <c r="O183" i="12"/>
  <c r="N183" i="12"/>
  <c r="M183" i="12"/>
  <c r="D183" i="12"/>
  <c r="C183" i="12"/>
  <c r="B183" i="12"/>
  <c r="A183" i="12"/>
  <c r="T182" i="12"/>
  <c r="S182" i="12"/>
  <c r="R182" i="12"/>
  <c r="Q182" i="12"/>
  <c r="P182" i="12"/>
  <c r="O182" i="12"/>
  <c r="N182" i="12"/>
  <c r="M182" i="12"/>
  <c r="D182" i="12"/>
  <c r="C182" i="12"/>
  <c r="B182" i="12"/>
  <c r="A182" i="12"/>
  <c r="T181" i="12"/>
  <c r="S181" i="12"/>
  <c r="R181" i="12"/>
  <c r="Q181" i="12"/>
  <c r="P181" i="12"/>
  <c r="O181" i="12"/>
  <c r="N181" i="12"/>
  <c r="M181" i="12"/>
  <c r="D181" i="12"/>
  <c r="C181" i="12"/>
  <c r="B181" i="12"/>
  <c r="A181" i="12"/>
  <c r="T180" i="12"/>
  <c r="S180" i="12"/>
  <c r="R180" i="12"/>
  <c r="Q180" i="12"/>
  <c r="P180" i="12"/>
  <c r="O180" i="12"/>
  <c r="N180" i="12"/>
  <c r="M180" i="12"/>
  <c r="D180" i="12"/>
  <c r="C180" i="12"/>
  <c r="B180" i="12"/>
  <c r="A180" i="12"/>
  <c r="T179" i="12"/>
  <c r="S179" i="12"/>
  <c r="R179" i="12"/>
  <c r="Q179" i="12"/>
  <c r="P179" i="12"/>
  <c r="O179" i="12"/>
  <c r="N179" i="12"/>
  <c r="M179" i="12"/>
  <c r="D179" i="12"/>
  <c r="C179" i="12"/>
  <c r="B179" i="12"/>
  <c r="A179" i="12"/>
  <c r="T178" i="12"/>
  <c r="S178" i="12"/>
  <c r="R178" i="12"/>
  <c r="Q178" i="12"/>
  <c r="P178" i="12"/>
  <c r="O178" i="12"/>
  <c r="N178" i="12"/>
  <c r="M178" i="12"/>
  <c r="D178" i="12"/>
  <c r="C178" i="12"/>
  <c r="B178" i="12"/>
  <c r="A178" i="12"/>
  <c r="T177" i="12"/>
  <c r="S177" i="12"/>
  <c r="R177" i="12"/>
  <c r="Q177" i="12"/>
  <c r="P177" i="12"/>
  <c r="O177" i="12"/>
  <c r="N177" i="12"/>
  <c r="M177" i="12"/>
  <c r="D177" i="12"/>
  <c r="C177" i="12"/>
  <c r="B177" i="12"/>
  <c r="A177" i="12"/>
  <c r="T176" i="12"/>
  <c r="S176" i="12"/>
  <c r="R176" i="12"/>
  <c r="Q176" i="12"/>
  <c r="P176" i="12"/>
  <c r="O176" i="12"/>
  <c r="N176" i="12"/>
  <c r="M176" i="12"/>
  <c r="D176" i="12"/>
  <c r="C176" i="12"/>
  <c r="B176" i="12"/>
  <c r="A176" i="12"/>
  <c r="T175" i="12"/>
  <c r="S175" i="12"/>
  <c r="R175" i="12"/>
  <c r="Q175" i="12"/>
  <c r="P175" i="12"/>
  <c r="O175" i="12"/>
  <c r="N175" i="12"/>
  <c r="M175" i="12"/>
  <c r="D175" i="12"/>
  <c r="C175" i="12"/>
  <c r="B175" i="12"/>
  <c r="A175" i="12"/>
  <c r="T174" i="12"/>
  <c r="S174" i="12"/>
  <c r="R174" i="12"/>
  <c r="Q174" i="12"/>
  <c r="P174" i="12"/>
  <c r="O174" i="12"/>
  <c r="N174" i="12"/>
  <c r="M174" i="12"/>
  <c r="D174" i="12"/>
  <c r="C174" i="12"/>
  <c r="B174" i="12"/>
  <c r="A174" i="12"/>
  <c r="T173" i="12"/>
  <c r="S173" i="12"/>
  <c r="R173" i="12"/>
  <c r="Q173" i="12"/>
  <c r="P173" i="12"/>
  <c r="O173" i="12"/>
  <c r="N173" i="12"/>
  <c r="M173" i="12"/>
  <c r="D173" i="12"/>
  <c r="C173" i="12"/>
  <c r="B173" i="12"/>
  <c r="A173" i="12"/>
  <c r="T172" i="12"/>
  <c r="S172" i="12"/>
  <c r="R172" i="12"/>
  <c r="Q172" i="12"/>
  <c r="P172" i="12"/>
  <c r="O172" i="12"/>
  <c r="N172" i="12"/>
  <c r="M172" i="12"/>
  <c r="D172" i="12"/>
  <c r="C172" i="12"/>
  <c r="B172" i="12"/>
  <c r="A172" i="12"/>
  <c r="T171" i="12"/>
  <c r="S171" i="12"/>
  <c r="R171" i="12"/>
  <c r="Q171" i="12"/>
  <c r="P171" i="12"/>
  <c r="O171" i="12"/>
  <c r="N171" i="12"/>
  <c r="M171" i="12"/>
  <c r="D171" i="12"/>
  <c r="C171" i="12"/>
  <c r="B171" i="12"/>
  <c r="A171" i="12"/>
  <c r="T170" i="12"/>
  <c r="S170" i="12"/>
  <c r="R170" i="12"/>
  <c r="Q170" i="12"/>
  <c r="P170" i="12"/>
  <c r="O170" i="12"/>
  <c r="N170" i="12"/>
  <c r="M170" i="12"/>
  <c r="D170" i="12"/>
  <c r="C170" i="12"/>
  <c r="B170" i="12"/>
  <c r="A170" i="12"/>
  <c r="T169" i="12"/>
  <c r="S169" i="12"/>
  <c r="R169" i="12"/>
  <c r="Q169" i="12"/>
  <c r="P169" i="12"/>
  <c r="O169" i="12"/>
  <c r="N169" i="12"/>
  <c r="M169" i="12"/>
  <c r="D169" i="12"/>
  <c r="C169" i="12"/>
  <c r="B169" i="12"/>
  <c r="A169" i="12"/>
  <c r="T168" i="12"/>
  <c r="S168" i="12"/>
  <c r="R168" i="12"/>
  <c r="Q168" i="12"/>
  <c r="P168" i="12"/>
  <c r="O168" i="12"/>
  <c r="N168" i="12"/>
  <c r="M168" i="12"/>
  <c r="D168" i="12"/>
  <c r="C168" i="12"/>
  <c r="B168" i="12"/>
  <c r="A168" i="12"/>
  <c r="T167" i="12"/>
  <c r="S167" i="12"/>
  <c r="R167" i="12"/>
  <c r="Q167" i="12"/>
  <c r="P167" i="12"/>
  <c r="O167" i="12"/>
  <c r="N167" i="12"/>
  <c r="M167" i="12"/>
  <c r="D167" i="12"/>
  <c r="C167" i="12"/>
  <c r="B167" i="12"/>
  <c r="A167" i="12"/>
  <c r="T166" i="12"/>
  <c r="S166" i="12"/>
  <c r="R166" i="12"/>
  <c r="Q166" i="12"/>
  <c r="P166" i="12"/>
  <c r="O166" i="12"/>
  <c r="N166" i="12"/>
  <c r="M166" i="12"/>
  <c r="D166" i="12"/>
  <c r="C166" i="12"/>
  <c r="B166" i="12"/>
  <c r="A166" i="12"/>
  <c r="T165" i="12"/>
  <c r="S165" i="12"/>
  <c r="R165" i="12"/>
  <c r="Q165" i="12"/>
  <c r="P165" i="12"/>
  <c r="O165" i="12"/>
  <c r="N165" i="12"/>
  <c r="M165" i="12"/>
  <c r="D165" i="12"/>
  <c r="C165" i="12"/>
  <c r="B165" i="12"/>
  <c r="A165" i="12"/>
  <c r="T164" i="12"/>
  <c r="S164" i="12"/>
  <c r="R164" i="12"/>
  <c r="Q164" i="12"/>
  <c r="P164" i="12"/>
  <c r="O164" i="12"/>
  <c r="N164" i="12"/>
  <c r="M164" i="12"/>
  <c r="D164" i="12"/>
  <c r="C164" i="12"/>
  <c r="B164" i="12"/>
  <c r="A164" i="12"/>
  <c r="T163" i="12"/>
  <c r="S163" i="12"/>
  <c r="R163" i="12"/>
  <c r="Q163" i="12"/>
  <c r="P163" i="12"/>
  <c r="O163" i="12"/>
  <c r="N163" i="12"/>
  <c r="M163" i="12"/>
  <c r="D163" i="12"/>
  <c r="C163" i="12"/>
  <c r="B163" i="12"/>
  <c r="A163" i="12"/>
  <c r="T162" i="12"/>
  <c r="S162" i="12"/>
  <c r="R162" i="12"/>
  <c r="Q162" i="12"/>
  <c r="P162" i="12"/>
  <c r="O162" i="12"/>
  <c r="N162" i="12"/>
  <c r="M162" i="12"/>
  <c r="D162" i="12"/>
  <c r="C162" i="12"/>
  <c r="B162" i="12"/>
  <c r="A162" i="12"/>
  <c r="T161" i="12"/>
  <c r="S161" i="12"/>
  <c r="R161" i="12"/>
  <c r="Q161" i="12"/>
  <c r="P161" i="12"/>
  <c r="O161" i="12"/>
  <c r="N161" i="12"/>
  <c r="M161" i="12"/>
  <c r="D161" i="12"/>
  <c r="C161" i="12"/>
  <c r="B161" i="12"/>
  <c r="A161" i="12"/>
  <c r="T160" i="12"/>
  <c r="S160" i="12"/>
  <c r="R160" i="12"/>
  <c r="Q160" i="12"/>
  <c r="P160" i="12"/>
  <c r="O160" i="12"/>
  <c r="N160" i="12"/>
  <c r="M160" i="12"/>
  <c r="D160" i="12"/>
  <c r="C160" i="12"/>
  <c r="B160" i="12"/>
  <c r="A160" i="12"/>
  <c r="T159" i="12"/>
  <c r="S159" i="12"/>
  <c r="R159" i="12"/>
  <c r="Q159" i="12"/>
  <c r="P159" i="12"/>
  <c r="O159" i="12"/>
  <c r="N159" i="12"/>
  <c r="M159" i="12"/>
  <c r="D159" i="12"/>
  <c r="C159" i="12"/>
  <c r="B159" i="12"/>
  <c r="A159" i="12"/>
  <c r="T158" i="12"/>
  <c r="S158" i="12"/>
  <c r="R158" i="12"/>
  <c r="Q158" i="12"/>
  <c r="P158" i="12"/>
  <c r="O158" i="12"/>
  <c r="N158" i="12"/>
  <c r="M158" i="12"/>
  <c r="D158" i="12"/>
  <c r="C158" i="12"/>
  <c r="B158" i="12"/>
  <c r="A158" i="12"/>
  <c r="T157" i="12"/>
  <c r="S157" i="12"/>
  <c r="R157" i="12"/>
  <c r="Q157" i="12"/>
  <c r="P157" i="12"/>
  <c r="O157" i="12"/>
  <c r="N157" i="12"/>
  <c r="M157" i="12"/>
  <c r="D157" i="12"/>
  <c r="C157" i="12"/>
  <c r="B157" i="12"/>
  <c r="A157" i="12"/>
  <c r="T156" i="12"/>
  <c r="S156" i="12"/>
  <c r="R156" i="12"/>
  <c r="Q156" i="12"/>
  <c r="P156" i="12"/>
  <c r="O156" i="12"/>
  <c r="N156" i="12"/>
  <c r="M156" i="12"/>
  <c r="D156" i="12"/>
  <c r="C156" i="12"/>
  <c r="B156" i="12"/>
  <c r="A156" i="12"/>
  <c r="T155" i="12"/>
  <c r="S155" i="12"/>
  <c r="R155" i="12"/>
  <c r="Q155" i="12"/>
  <c r="P155" i="12"/>
  <c r="O155" i="12"/>
  <c r="N155" i="12"/>
  <c r="M155" i="12"/>
  <c r="D155" i="12"/>
  <c r="C155" i="12"/>
  <c r="B155" i="12"/>
  <c r="A155" i="12"/>
  <c r="T154" i="12"/>
  <c r="S154" i="12"/>
  <c r="R154" i="12"/>
  <c r="Q154" i="12"/>
  <c r="P154" i="12"/>
  <c r="O154" i="12"/>
  <c r="N154" i="12"/>
  <c r="M154" i="12"/>
  <c r="D154" i="12"/>
  <c r="C154" i="12"/>
  <c r="B154" i="12"/>
  <c r="A154" i="12"/>
  <c r="T153" i="12"/>
  <c r="S153" i="12"/>
  <c r="R153" i="12"/>
  <c r="Q153" i="12"/>
  <c r="P153" i="12"/>
  <c r="O153" i="12"/>
  <c r="N153" i="12"/>
  <c r="M153" i="12"/>
  <c r="D153" i="12"/>
  <c r="C153" i="12"/>
  <c r="B153" i="12"/>
  <c r="A153" i="12"/>
  <c r="T152" i="12"/>
  <c r="S152" i="12"/>
  <c r="R152" i="12"/>
  <c r="Q152" i="12"/>
  <c r="P152" i="12"/>
  <c r="O152" i="12"/>
  <c r="N152" i="12"/>
  <c r="M152" i="12"/>
  <c r="D152" i="12"/>
  <c r="C152" i="12"/>
  <c r="B152" i="12"/>
  <c r="A152" i="12"/>
  <c r="T151" i="12"/>
  <c r="S151" i="12"/>
  <c r="R151" i="12"/>
  <c r="Q151" i="12"/>
  <c r="P151" i="12"/>
  <c r="O151" i="12"/>
  <c r="N151" i="12"/>
  <c r="M151" i="12"/>
  <c r="D151" i="12"/>
  <c r="C151" i="12"/>
  <c r="B151" i="12"/>
  <c r="A151" i="12"/>
  <c r="T150" i="12"/>
  <c r="S150" i="12"/>
  <c r="R150" i="12"/>
  <c r="Q150" i="12"/>
  <c r="P150" i="12"/>
  <c r="O150" i="12"/>
  <c r="N150" i="12"/>
  <c r="M150" i="12"/>
  <c r="D150" i="12"/>
  <c r="C150" i="12"/>
  <c r="B150" i="12"/>
  <c r="A150" i="12"/>
  <c r="T149" i="12"/>
  <c r="S149" i="12"/>
  <c r="R149" i="12"/>
  <c r="Q149" i="12"/>
  <c r="P149" i="12"/>
  <c r="O149" i="12"/>
  <c r="N149" i="12"/>
  <c r="M149" i="12"/>
  <c r="D149" i="12"/>
  <c r="C149" i="12"/>
  <c r="B149" i="12"/>
  <c r="A149" i="12"/>
  <c r="T148" i="12"/>
  <c r="S148" i="12"/>
  <c r="R148" i="12"/>
  <c r="Q148" i="12"/>
  <c r="P148" i="12"/>
  <c r="O148" i="12"/>
  <c r="N148" i="12"/>
  <c r="M148" i="12"/>
  <c r="D148" i="12"/>
  <c r="C148" i="12"/>
  <c r="B148" i="12"/>
  <c r="A148" i="12"/>
  <c r="T147" i="12"/>
  <c r="S147" i="12"/>
  <c r="R147" i="12"/>
  <c r="Q147" i="12"/>
  <c r="P147" i="12"/>
  <c r="O147" i="12"/>
  <c r="N147" i="12"/>
  <c r="M147" i="12"/>
  <c r="D147" i="12"/>
  <c r="C147" i="12"/>
  <c r="B147" i="12"/>
  <c r="A147" i="12"/>
  <c r="T146" i="12"/>
  <c r="S146" i="12"/>
  <c r="R146" i="12"/>
  <c r="Q146" i="12"/>
  <c r="P146" i="12"/>
  <c r="O146" i="12"/>
  <c r="N146" i="12"/>
  <c r="M146" i="12"/>
  <c r="D146" i="12"/>
  <c r="C146" i="12"/>
  <c r="B146" i="12"/>
  <c r="A146" i="12"/>
  <c r="T145" i="12"/>
  <c r="S145" i="12"/>
  <c r="R145" i="12"/>
  <c r="Q145" i="12"/>
  <c r="P145" i="12"/>
  <c r="O145" i="12"/>
  <c r="N145" i="12"/>
  <c r="M145" i="12"/>
  <c r="D145" i="12"/>
  <c r="C145" i="12"/>
  <c r="B145" i="12"/>
  <c r="A145" i="12"/>
  <c r="T144" i="12"/>
  <c r="S144" i="12"/>
  <c r="R144" i="12"/>
  <c r="Q144" i="12"/>
  <c r="P144" i="12"/>
  <c r="O144" i="12"/>
  <c r="N144" i="12"/>
  <c r="M144" i="12"/>
  <c r="D144" i="12"/>
  <c r="C144" i="12"/>
  <c r="B144" i="12"/>
  <c r="A144" i="12"/>
  <c r="T143" i="12"/>
  <c r="S143" i="12"/>
  <c r="R143" i="12"/>
  <c r="Q143" i="12"/>
  <c r="P143" i="12"/>
  <c r="O143" i="12"/>
  <c r="N143" i="12"/>
  <c r="M143" i="12"/>
  <c r="D143" i="12"/>
  <c r="C143" i="12"/>
  <c r="B143" i="12"/>
  <c r="A143" i="12"/>
  <c r="T142" i="12"/>
  <c r="S142" i="12"/>
  <c r="R142" i="12"/>
  <c r="Q142" i="12"/>
  <c r="P142" i="12"/>
  <c r="O142" i="12"/>
  <c r="N142" i="12"/>
  <c r="M142" i="12"/>
  <c r="D142" i="12"/>
  <c r="C142" i="12"/>
  <c r="B142" i="12"/>
  <c r="A142" i="12"/>
  <c r="T141" i="12"/>
  <c r="S141" i="12"/>
  <c r="R141" i="12"/>
  <c r="Q141" i="12"/>
  <c r="P141" i="12"/>
  <c r="O141" i="12"/>
  <c r="N141" i="12"/>
  <c r="M141" i="12"/>
  <c r="D141" i="12"/>
  <c r="C141" i="12"/>
  <c r="B141" i="12"/>
  <c r="A141" i="12"/>
  <c r="T140" i="12"/>
  <c r="S140" i="12"/>
  <c r="R140" i="12"/>
  <c r="Q140" i="12"/>
  <c r="P140" i="12"/>
  <c r="O140" i="12"/>
  <c r="N140" i="12"/>
  <c r="M140" i="12"/>
  <c r="D140" i="12"/>
  <c r="C140" i="12"/>
  <c r="B140" i="12"/>
  <c r="A140" i="12"/>
  <c r="T139" i="12"/>
  <c r="S139" i="12"/>
  <c r="R139" i="12"/>
  <c r="Q139" i="12"/>
  <c r="P139" i="12"/>
  <c r="O139" i="12"/>
  <c r="N139" i="12"/>
  <c r="M139" i="12"/>
  <c r="D139" i="12"/>
  <c r="C139" i="12"/>
  <c r="B139" i="12"/>
  <c r="A139" i="12"/>
  <c r="T138" i="12"/>
  <c r="S138" i="12"/>
  <c r="R138" i="12"/>
  <c r="Q138" i="12"/>
  <c r="P138" i="12"/>
  <c r="O138" i="12"/>
  <c r="N138" i="12"/>
  <c r="M138" i="12"/>
  <c r="D138" i="12"/>
  <c r="C138" i="12"/>
  <c r="B138" i="12"/>
  <c r="A138" i="12"/>
  <c r="T137" i="12"/>
  <c r="S137" i="12"/>
  <c r="R137" i="12"/>
  <c r="Q137" i="12"/>
  <c r="P137" i="12"/>
  <c r="O137" i="12"/>
  <c r="N137" i="12"/>
  <c r="M137" i="12"/>
  <c r="D137" i="12"/>
  <c r="C137" i="12"/>
  <c r="B137" i="12"/>
  <c r="A137" i="12"/>
  <c r="T136" i="12"/>
  <c r="S136" i="12"/>
  <c r="R136" i="12"/>
  <c r="Q136" i="12"/>
  <c r="P136" i="12"/>
  <c r="O136" i="12"/>
  <c r="N136" i="12"/>
  <c r="M136" i="12"/>
  <c r="D136" i="12"/>
  <c r="C136" i="12"/>
  <c r="B136" i="12"/>
  <c r="A136" i="12"/>
  <c r="T135" i="12"/>
  <c r="S135" i="12"/>
  <c r="R135" i="12"/>
  <c r="Q135" i="12"/>
  <c r="P135" i="12"/>
  <c r="O135" i="12"/>
  <c r="N135" i="12"/>
  <c r="M135" i="12"/>
  <c r="D135" i="12"/>
  <c r="C135" i="12"/>
  <c r="B135" i="12"/>
  <c r="A135" i="12"/>
  <c r="T134" i="12"/>
  <c r="S134" i="12"/>
  <c r="R134" i="12"/>
  <c r="Q134" i="12"/>
  <c r="P134" i="12"/>
  <c r="O134" i="12"/>
  <c r="N134" i="12"/>
  <c r="M134" i="12"/>
  <c r="D134" i="12"/>
  <c r="C134" i="12"/>
  <c r="B134" i="12"/>
  <c r="A134" i="12"/>
  <c r="T133" i="12"/>
  <c r="S133" i="12"/>
  <c r="R133" i="12"/>
  <c r="Q133" i="12"/>
  <c r="P133" i="12"/>
  <c r="O133" i="12"/>
  <c r="N133" i="12"/>
  <c r="M133" i="12"/>
  <c r="D133" i="12"/>
  <c r="C133" i="12"/>
  <c r="B133" i="12"/>
  <c r="A133" i="12"/>
  <c r="T132" i="12"/>
  <c r="S132" i="12"/>
  <c r="R132" i="12"/>
  <c r="Q132" i="12"/>
  <c r="P132" i="12"/>
  <c r="O132" i="12"/>
  <c r="N132" i="12"/>
  <c r="M132" i="12"/>
  <c r="D132" i="12"/>
  <c r="C132" i="12"/>
  <c r="B132" i="12"/>
  <c r="A132" i="12"/>
  <c r="T131" i="12"/>
  <c r="S131" i="12"/>
  <c r="R131" i="12"/>
  <c r="Q131" i="12"/>
  <c r="P131" i="12"/>
  <c r="O131" i="12"/>
  <c r="N131" i="12"/>
  <c r="M131" i="12"/>
  <c r="D131" i="12"/>
  <c r="C131" i="12"/>
  <c r="B131" i="12"/>
  <c r="A131" i="12"/>
  <c r="T130" i="12"/>
  <c r="S130" i="12"/>
  <c r="R130" i="12"/>
  <c r="Q130" i="12"/>
  <c r="P130" i="12"/>
  <c r="O130" i="12"/>
  <c r="N130" i="12"/>
  <c r="M130" i="12"/>
  <c r="D130" i="12"/>
  <c r="C130" i="12"/>
  <c r="B130" i="12"/>
  <c r="A130" i="12"/>
  <c r="T129" i="12"/>
  <c r="S129" i="12"/>
  <c r="R129" i="12"/>
  <c r="Q129" i="12"/>
  <c r="P129" i="12"/>
  <c r="O129" i="12"/>
  <c r="N129" i="12"/>
  <c r="M129" i="12"/>
  <c r="D129" i="12"/>
  <c r="C129" i="12"/>
  <c r="B129" i="12"/>
  <c r="A129" i="12"/>
  <c r="T128" i="12"/>
  <c r="S128" i="12"/>
  <c r="R128" i="12"/>
  <c r="Q128" i="12"/>
  <c r="P128" i="12"/>
  <c r="O128" i="12"/>
  <c r="N128" i="12"/>
  <c r="M128" i="12"/>
  <c r="D128" i="12"/>
  <c r="C128" i="12"/>
  <c r="B128" i="12"/>
  <c r="A128" i="12"/>
  <c r="T127" i="12"/>
  <c r="S127" i="12"/>
  <c r="R127" i="12"/>
  <c r="Q127" i="12"/>
  <c r="P127" i="12"/>
  <c r="O127" i="12"/>
  <c r="N127" i="12"/>
  <c r="M127" i="12"/>
  <c r="D127" i="12"/>
  <c r="C127" i="12"/>
  <c r="B127" i="12"/>
  <c r="A127" i="12"/>
  <c r="T126" i="12"/>
  <c r="S126" i="12"/>
  <c r="R126" i="12"/>
  <c r="Q126" i="12"/>
  <c r="P126" i="12"/>
  <c r="O126" i="12"/>
  <c r="N126" i="12"/>
  <c r="M126" i="12"/>
  <c r="D126" i="12"/>
  <c r="C126" i="12"/>
  <c r="B126" i="12"/>
  <c r="A126" i="12"/>
  <c r="T125" i="12"/>
  <c r="S125" i="12"/>
  <c r="R125" i="12"/>
  <c r="Q125" i="12"/>
  <c r="P125" i="12"/>
  <c r="O125" i="12"/>
  <c r="N125" i="12"/>
  <c r="M125" i="12"/>
  <c r="D125" i="12"/>
  <c r="C125" i="12"/>
  <c r="B125" i="12"/>
  <c r="A125" i="12"/>
  <c r="T124" i="12"/>
  <c r="S124" i="12"/>
  <c r="R124" i="12"/>
  <c r="Q124" i="12"/>
  <c r="P124" i="12"/>
  <c r="O124" i="12"/>
  <c r="N124" i="12"/>
  <c r="M124" i="12"/>
  <c r="D124" i="12"/>
  <c r="C124" i="12"/>
  <c r="B124" i="12"/>
  <c r="A124" i="12"/>
  <c r="T123" i="12"/>
  <c r="S123" i="12"/>
  <c r="R123" i="12"/>
  <c r="Q123" i="12"/>
  <c r="P123" i="12"/>
  <c r="O123" i="12"/>
  <c r="N123" i="12"/>
  <c r="M123" i="12"/>
  <c r="D123" i="12"/>
  <c r="C123" i="12"/>
  <c r="B123" i="12"/>
  <c r="A123" i="12"/>
  <c r="T122" i="12"/>
  <c r="S122" i="12"/>
  <c r="R122" i="12"/>
  <c r="Q122" i="12"/>
  <c r="P122" i="12"/>
  <c r="O122" i="12"/>
  <c r="N122" i="12"/>
  <c r="M122" i="12"/>
  <c r="D122" i="12"/>
  <c r="C122" i="12"/>
  <c r="B122" i="12"/>
  <c r="A122" i="12"/>
  <c r="T121" i="12"/>
  <c r="S121" i="12"/>
  <c r="R121" i="12"/>
  <c r="Q121" i="12"/>
  <c r="P121" i="12"/>
  <c r="O121" i="12"/>
  <c r="N121" i="12"/>
  <c r="M121" i="12"/>
  <c r="D121" i="12"/>
  <c r="C121" i="12"/>
  <c r="B121" i="12"/>
  <c r="A121" i="12"/>
  <c r="T120" i="12"/>
  <c r="S120" i="12"/>
  <c r="R120" i="12"/>
  <c r="Q120" i="12"/>
  <c r="P120" i="12"/>
  <c r="O120" i="12"/>
  <c r="N120" i="12"/>
  <c r="M120" i="12"/>
  <c r="D120" i="12"/>
  <c r="C120" i="12"/>
  <c r="B120" i="12"/>
  <c r="A120" i="12"/>
  <c r="T119" i="12"/>
  <c r="S119" i="12"/>
  <c r="R119" i="12"/>
  <c r="Q119" i="12"/>
  <c r="P119" i="12"/>
  <c r="O119" i="12"/>
  <c r="N119" i="12"/>
  <c r="M119" i="12"/>
  <c r="D119" i="12"/>
  <c r="C119" i="12"/>
  <c r="B119" i="12"/>
  <c r="A119" i="12"/>
  <c r="T118" i="12"/>
  <c r="S118" i="12"/>
  <c r="R118" i="12"/>
  <c r="Q118" i="12"/>
  <c r="P118" i="12"/>
  <c r="O118" i="12"/>
  <c r="N118" i="12"/>
  <c r="M118" i="12"/>
  <c r="D118" i="12"/>
  <c r="C118" i="12"/>
  <c r="B118" i="12"/>
  <c r="A118" i="12"/>
  <c r="T117" i="12"/>
  <c r="S117" i="12"/>
  <c r="R117" i="12"/>
  <c r="Q117" i="12"/>
  <c r="P117" i="12"/>
  <c r="O117" i="12"/>
  <c r="N117" i="12"/>
  <c r="M117" i="12"/>
  <c r="D117" i="12"/>
  <c r="C117" i="12"/>
  <c r="B117" i="12"/>
  <c r="A117" i="12"/>
  <c r="T116" i="12"/>
  <c r="S116" i="12"/>
  <c r="R116" i="12"/>
  <c r="Q116" i="12"/>
  <c r="P116" i="12"/>
  <c r="O116" i="12"/>
  <c r="N116" i="12"/>
  <c r="M116" i="12"/>
  <c r="D116" i="12"/>
  <c r="C116" i="12"/>
  <c r="B116" i="12"/>
  <c r="A116" i="12"/>
  <c r="T115" i="12"/>
  <c r="S115" i="12"/>
  <c r="R115" i="12"/>
  <c r="Q115" i="12"/>
  <c r="P115" i="12"/>
  <c r="O115" i="12"/>
  <c r="N115" i="12"/>
  <c r="M115" i="12"/>
  <c r="D115" i="12"/>
  <c r="C115" i="12"/>
  <c r="B115" i="12"/>
  <c r="A115" i="12"/>
  <c r="T114" i="12"/>
  <c r="S114" i="12"/>
  <c r="R114" i="12"/>
  <c r="Q114" i="12"/>
  <c r="P114" i="12"/>
  <c r="O114" i="12"/>
  <c r="N114" i="12"/>
  <c r="M114" i="12"/>
  <c r="D114" i="12"/>
  <c r="C114" i="12"/>
  <c r="B114" i="12"/>
  <c r="A114" i="12"/>
  <c r="T113" i="12"/>
  <c r="S113" i="12"/>
  <c r="R113" i="12"/>
  <c r="Q113" i="12"/>
  <c r="P113" i="12"/>
  <c r="O113" i="12"/>
  <c r="N113" i="12"/>
  <c r="M113" i="12"/>
  <c r="D113" i="12"/>
  <c r="C113" i="12"/>
  <c r="B113" i="12"/>
  <c r="A113" i="12"/>
  <c r="T112" i="12"/>
  <c r="S112" i="12"/>
  <c r="R112" i="12"/>
  <c r="Q112" i="12"/>
  <c r="P112" i="12"/>
  <c r="O112" i="12"/>
  <c r="N112" i="12"/>
  <c r="M112" i="12"/>
  <c r="D112" i="12"/>
  <c r="C112" i="12"/>
  <c r="B112" i="12"/>
  <c r="A112" i="12"/>
  <c r="T111" i="12"/>
  <c r="S111" i="12"/>
  <c r="R111" i="12"/>
  <c r="Q111" i="12"/>
  <c r="P111" i="12"/>
  <c r="O111" i="12"/>
  <c r="N111" i="12"/>
  <c r="M111" i="12"/>
  <c r="D111" i="12"/>
  <c r="C111" i="12"/>
  <c r="B111" i="12"/>
  <c r="A111" i="12"/>
  <c r="T110" i="12"/>
  <c r="S110" i="12"/>
  <c r="R110" i="12"/>
  <c r="Q110" i="12"/>
  <c r="P110" i="12"/>
  <c r="O110" i="12"/>
  <c r="N110" i="12"/>
  <c r="M110" i="12"/>
  <c r="D110" i="12"/>
  <c r="C110" i="12"/>
  <c r="B110" i="12"/>
  <c r="A110" i="12"/>
  <c r="T109" i="12"/>
  <c r="S109" i="12"/>
  <c r="R109" i="12"/>
  <c r="Q109" i="12"/>
  <c r="P109" i="12"/>
  <c r="O109" i="12"/>
  <c r="N109" i="12"/>
  <c r="M109" i="12"/>
  <c r="D109" i="12"/>
  <c r="C109" i="12"/>
  <c r="B109" i="12"/>
  <c r="A109" i="12"/>
  <c r="T108" i="12"/>
  <c r="S108" i="12"/>
  <c r="R108" i="12"/>
  <c r="Q108" i="12"/>
  <c r="P108" i="12"/>
  <c r="O108" i="12"/>
  <c r="N108" i="12"/>
  <c r="M108" i="12"/>
  <c r="D108" i="12"/>
  <c r="C108" i="12"/>
  <c r="B108" i="12"/>
  <c r="A108" i="12"/>
  <c r="T107" i="12"/>
  <c r="S107" i="12"/>
  <c r="R107" i="12"/>
  <c r="Q107" i="12"/>
  <c r="P107" i="12"/>
  <c r="O107" i="12"/>
  <c r="N107" i="12"/>
  <c r="M107" i="12"/>
  <c r="D107" i="12"/>
  <c r="C107" i="12"/>
  <c r="B107" i="12"/>
  <c r="A107" i="12"/>
  <c r="T106" i="12"/>
  <c r="S106" i="12"/>
  <c r="R106" i="12"/>
  <c r="Q106" i="12"/>
  <c r="P106" i="12"/>
  <c r="O106" i="12"/>
  <c r="N106" i="12"/>
  <c r="M106" i="12"/>
  <c r="D106" i="12"/>
  <c r="C106" i="12"/>
  <c r="B106" i="12"/>
  <c r="A106" i="12"/>
  <c r="T105" i="12"/>
  <c r="S105" i="12"/>
  <c r="R105" i="12"/>
  <c r="Q105" i="12"/>
  <c r="P105" i="12"/>
  <c r="O105" i="12"/>
  <c r="N105" i="12"/>
  <c r="M105" i="12"/>
  <c r="D105" i="12"/>
  <c r="C105" i="12"/>
  <c r="B105" i="12"/>
  <c r="A105" i="12"/>
  <c r="T104" i="12"/>
  <c r="S104" i="12"/>
  <c r="R104" i="12"/>
  <c r="Q104" i="12"/>
  <c r="P104" i="12"/>
  <c r="O104" i="12"/>
  <c r="N104" i="12"/>
  <c r="M104" i="12"/>
  <c r="D104" i="12"/>
  <c r="C104" i="12"/>
  <c r="B104" i="12"/>
  <c r="A104" i="12"/>
  <c r="T103" i="12"/>
  <c r="S103" i="12"/>
  <c r="R103" i="12"/>
  <c r="Q103" i="12"/>
  <c r="P103" i="12"/>
  <c r="O103" i="12"/>
  <c r="N103" i="12"/>
  <c r="M103" i="12"/>
  <c r="D103" i="12"/>
  <c r="C103" i="12"/>
  <c r="B103" i="12"/>
  <c r="A103" i="12"/>
  <c r="T102" i="12"/>
  <c r="S102" i="12"/>
  <c r="R102" i="12"/>
  <c r="Q102" i="12"/>
  <c r="P102" i="12"/>
  <c r="O102" i="12"/>
  <c r="N102" i="12"/>
  <c r="M102" i="12"/>
  <c r="D102" i="12"/>
  <c r="C102" i="12"/>
  <c r="B102" i="12"/>
  <c r="A102" i="12"/>
  <c r="T101" i="12"/>
  <c r="S101" i="12"/>
  <c r="R101" i="12"/>
  <c r="Q101" i="12"/>
  <c r="P101" i="12"/>
  <c r="O101" i="12"/>
  <c r="N101" i="12"/>
  <c r="M101" i="12"/>
  <c r="D101" i="12"/>
  <c r="C101" i="12"/>
  <c r="B101" i="12"/>
  <c r="A101" i="12"/>
  <c r="T100" i="12"/>
  <c r="S100" i="12"/>
  <c r="R100" i="12"/>
  <c r="Q100" i="12"/>
  <c r="P100" i="12"/>
  <c r="O100" i="12"/>
  <c r="N100" i="12"/>
  <c r="M100" i="12"/>
  <c r="D100" i="12"/>
  <c r="C100" i="12"/>
  <c r="B100" i="12"/>
  <c r="A100" i="12"/>
  <c r="T99" i="12"/>
  <c r="S99" i="12"/>
  <c r="R99" i="12"/>
  <c r="Q99" i="12"/>
  <c r="P99" i="12"/>
  <c r="O99" i="12"/>
  <c r="N99" i="12"/>
  <c r="M99" i="12"/>
  <c r="D99" i="12"/>
  <c r="C99" i="12"/>
  <c r="B99" i="12"/>
  <c r="A99" i="12"/>
  <c r="T98" i="12"/>
  <c r="S98" i="12"/>
  <c r="R98" i="12"/>
  <c r="Q98" i="12"/>
  <c r="P98" i="12"/>
  <c r="O98" i="12"/>
  <c r="N98" i="12"/>
  <c r="M98" i="12"/>
  <c r="D98" i="12"/>
  <c r="C98" i="12"/>
  <c r="B98" i="12"/>
  <c r="A98" i="12"/>
  <c r="T97" i="12"/>
  <c r="S97" i="12"/>
  <c r="R97" i="12"/>
  <c r="Q97" i="12"/>
  <c r="P97" i="12"/>
  <c r="O97" i="12"/>
  <c r="N97" i="12"/>
  <c r="M97" i="12"/>
  <c r="D97" i="12"/>
  <c r="C97" i="12"/>
  <c r="B97" i="12"/>
  <c r="A97" i="12"/>
  <c r="T96" i="12"/>
  <c r="S96" i="12"/>
  <c r="R96" i="12"/>
  <c r="Q96" i="12"/>
  <c r="P96" i="12"/>
  <c r="O96" i="12"/>
  <c r="N96" i="12"/>
  <c r="M96" i="12"/>
  <c r="D96" i="12"/>
  <c r="C96" i="12"/>
  <c r="B96" i="12"/>
  <c r="A96" i="12"/>
  <c r="T95" i="12"/>
  <c r="S95" i="12"/>
  <c r="R95" i="12"/>
  <c r="Q95" i="12"/>
  <c r="P95" i="12"/>
  <c r="O95" i="12"/>
  <c r="N95" i="12"/>
  <c r="M95" i="12"/>
  <c r="D95" i="12"/>
  <c r="C95" i="12"/>
  <c r="B95" i="12"/>
  <c r="A95" i="12"/>
  <c r="T94" i="12"/>
  <c r="S94" i="12"/>
  <c r="R94" i="12"/>
  <c r="Q94" i="12"/>
  <c r="P94" i="12"/>
  <c r="O94" i="12"/>
  <c r="N94" i="12"/>
  <c r="M94" i="12"/>
  <c r="D94" i="12"/>
  <c r="C94" i="12"/>
  <c r="B94" i="12"/>
  <c r="A94" i="12"/>
  <c r="T93" i="12"/>
  <c r="S93" i="12"/>
  <c r="R93" i="12"/>
  <c r="Q93" i="12"/>
  <c r="P93" i="12"/>
  <c r="O93" i="12"/>
  <c r="N93" i="12"/>
  <c r="M93" i="12"/>
  <c r="D93" i="12"/>
  <c r="C93" i="12"/>
  <c r="B93" i="12"/>
  <c r="A93" i="12"/>
  <c r="T92" i="12"/>
  <c r="S92" i="12"/>
  <c r="R92" i="12"/>
  <c r="Q92" i="12"/>
  <c r="P92" i="12"/>
  <c r="O92" i="12"/>
  <c r="N92" i="12"/>
  <c r="M92" i="12"/>
  <c r="D92" i="12"/>
  <c r="C92" i="12"/>
  <c r="B92" i="12"/>
  <c r="A92" i="12"/>
  <c r="T91" i="12"/>
  <c r="S91" i="12"/>
  <c r="R91" i="12"/>
  <c r="Q91" i="12"/>
  <c r="P91" i="12"/>
  <c r="O91" i="12"/>
  <c r="N91" i="12"/>
  <c r="M91" i="12"/>
  <c r="D91" i="12"/>
  <c r="C91" i="12"/>
  <c r="B91" i="12"/>
  <c r="A91" i="12"/>
  <c r="T90" i="12"/>
  <c r="S90" i="12"/>
  <c r="R90" i="12"/>
  <c r="Q90" i="12"/>
  <c r="P90" i="12"/>
  <c r="O90" i="12"/>
  <c r="N90" i="12"/>
  <c r="M90" i="12"/>
  <c r="D90" i="12"/>
  <c r="C90" i="12"/>
  <c r="B90" i="12"/>
  <c r="A90" i="12"/>
  <c r="T89" i="12"/>
  <c r="S89" i="12"/>
  <c r="R89" i="12"/>
  <c r="Q89" i="12"/>
  <c r="P89" i="12"/>
  <c r="O89" i="12"/>
  <c r="N89" i="12"/>
  <c r="M89" i="12"/>
  <c r="D89" i="12"/>
  <c r="C89" i="12"/>
  <c r="B89" i="12"/>
  <c r="A89" i="12"/>
  <c r="T88" i="12"/>
  <c r="S88" i="12"/>
  <c r="R88" i="12"/>
  <c r="Q88" i="12"/>
  <c r="P88" i="12"/>
  <c r="O88" i="12"/>
  <c r="N88" i="12"/>
  <c r="M88" i="12"/>
  <c r="D88" i="12"/>
  <c r="C88" i="12"/>
  <c r="B88" i="12"/>
  <c r="A88" i="12"/>
  <c r="T87" i="12"/>
  <c r="S87" i="12"/>
  <c r="R87" i="12"/>
  <c r="Q87" i="12"/>
  <c r="P87" i="12"/>
  <c r="O87" i="12"/>
  <c r="N87" i="12"/>
  <c r="M87" i="12"/>
  <c r="D87" i="12"/>
  <c r="C87" i="12"/>
  <c r="B87" i="12"/>
  <c r="A87" i="12"/>
  <c r="T86" i="12"/>
  <c r="S86" i="12"/>
  <c r="R86" i="12"/>
  <c r="Q86" i="12"/>
  <c r="P86" i="12"/>
  <c r="O86" i="12"/>
  <c r="N86" i="12"/>
  <c r="M86" i="12"/>
  <c r="D86" i="12"/>
  <c r="C86" i="12"/>
  <c r="B86" i="12"/>
  <c r="A86" i="12"/>
  <c r="T85" i="12"/>
  <c r="S85" i="12"/>
  <c r="R85" i="12"/>
  <c r="Q85" i="12"/>
  <c r="P85" i="12"/>
  <c r="O85" i="12"/>
  <c r="N85" i="12"/>
  <c r="M85" i="12"/>
  <c r="D85" i="12"/>
  <c r="C85" i="12"/>
  <c r="B85" i="12"/>
  <c r="A85" i="12"/>
  <c r="T84" i="12"/>
  <c r="S84" i="12"/>
  <c r="R84" i="12"/>
  <c r="Q84" i="12"/>
  <c r="P84" i="12"/>
  <c r="O84" i="12"/>
  <c r="N84" i="12"/>
  <c r="M84" i="12"/>
  <c r="D84" i="12"/>
  <c r="C84" i="12"/>
  <c r="B84" i="12"/>
  <c r="A84" i="12"/>
  <c r="T83" i="12"/>
  <c r="S83" i="12"/>
  <c r="R83" i="12"/>
  <c r="Q83" i="12"/>
  <c r="P83" i="12"/>
  <c r="O83" i="12"/>
  <c r="N83" i="12"/>
  <c r="M83" i="12"/>
  <c r="D83" i="12"/>
  <c r="C83" i="12"/>
  <c r="B83" i="12"/>
  <c r="A83" i="12"/>
  <c r="T82" i="12"/>
  <c r="S82" i="12"/>
  <c r="R82" i="12"/>
  <c r="Q82" i="12"/>
  <c r="P82" i="12"/>
  <c r="O82" i="12"/>
  <c r="N82" i="12"/>
  <c r="M82" i="12"/>
  <c r="D82" i="12"/>
  <c r="C82" i="12"/>
  <c r="B82" i="12"/>
  <c r="A82" i="12"/>
  <c r="T81" i="12"/>
  <c r="S81" i="12"/>
  <c r="R81" i="12"/>
  <c r="Q81" i="12"/>
  <c r="P81" i="12"/>
  <c r="O81" i="12"/>
  <c r="N81" i="12"/>
  <c r="M81" i="12"/>
  <c r="D81" i="12"/>
  <c r="C81" i="12"/>
  <c r="B81" i="12"/>
  <c r="A81" i="12"/>
  <c r="T80" i="12"/>
  <c r="S80" i="12"/>
  <c r="R80" i="12"/>
  <c r="Q80" i="12"/>
  <c r="P80" i="12"/>
  <c r="O80" i="12"/>
  <c r="N80" i="12"/>
  <c r="M80" i="12"/>
  <c r="D80" i="12"/>
  <c r="C80" i="12"/>
  <c r="B80" i="12"/>
  <c r="A80" i="12"/>
  <c r="T79" i="12"/>
  <c r="S79" i="12"/>
  <c r="R79" i="12"/>
  <c r="Q79" i="12"/>
  <c r="P79" i="12"/>
  <c r="O79" i="12"/>
  <c r="N79" i="12"/>
  <c r="M79" i="12"/>
  <c r="D79" i="12"/>
  <c r="C79" i="12"/>
  <c r="B79" i="12"/>
  <c r="A79" i="12"/>
  <c r="T78" i="12"/>
  <c r="S78" i="12"/>
  <c r="R78" i="12"/>
  <c r="Q78" i="12"/>
  <c r="P78" i="12"/>
  <c r="O78" i="12"/>
  <c r="N78" i="12"/>
  <c r="M78" i="12"/>
  <c r="D78" i="12"/>
  <c r="C78" i="12"/>
  <c r="B78" i="12"/>
  <c r="A78" i="12"/>
  <c r="T77" i="12"/>
  <c r="S77" i="12"/>
  <c r="R77" i="12"/>
  <c r="Q77" i="12"/>
  <c r="P77" i="12"/>
  <c r="O77" i="12"/>
  <c r="N77" i="12"/>
  <c r="M77" i="12"/>
  <c r="D77" i="12"/>
  <c r="C77" i="12"/>
  <c r="B77" i="12"/>
  <c r="A77" i="12"/>
  <c r="T76" i="12"/>
  <c r="S76" i="12"/>
  <c r="R76" i="12"/>
  <c r="Q76" i="12"/>
  <c r="P76" i="12"/>
  <c r="O76" i="12"/>
  <c r="N76" i="12"/>
  <c r="M76" i="12"/>
  <c r="D76" i="12"/>
  <c r="C76" i="12"/>
  <c r="B76" i="12"/>
  <c r="A76" i="12"/>
  <c r="T75" i="12"/>
  <c r="S75" i="12"/>
  <c r="R75" i="12"/>
  <c r="Q75" i="12"/>
  <c r="P75" i="12"/>
  <c r="O75" i="12"/>
  <c r="N75" i="12"/>
  <c r="M75" i="12"/>
  <c r="D75" i="12"/>
  <c r="C75" i="12"/>
  <c r="B75" i="12"/>
  <c r="A75" i="12"/>
  <c r="T74" i="12"/>
  <c r="S74" i="12"/>
  <c r="R74" i="12"/>
  <c r="Q74" i="12"/>
  <c r="P74" i="12"/>
  <c r="O74" i="12"/>
  <c r="N74" i="12"/>
  <c r="M74" i="12"/>
  <c r="D74" i="12"/>
  <c r="C74" i="12"/>
  <c r="B74" i="12"/>
  <c r="A74" i="12"/>
  <c r="T73" i="12"/>
  <c r="S73" i="12"/>
  <c r="R73" i="12"/>
  <c r="Q73" i="12"/>
  <c r="P73" i="12"/>
  <c r="O73" i="12"/>
  <c r="N73" i="12"/>
  <c r="M73" i="12"/>
  <c r="D73" i="12"/>
  <c r="C73" i="12"/>
  <c r="B73" i="12"/>
  <c r="A73" i="12"/>
  <c r="T72" i="12"/>
  <c r="S72" i="12"/>
  <c r="R72" i="12"/>
  <c r="Q72" i="12"/>
  <c r="P72" i="12"/>
  <c r="O72" i="12"/>
  <c r="N72" i="12"/>
  <c r="M72" i="12"/>
  <c r="D72" i="12"/>
  <c r="C72" i="12"/>
  <c r="B72" i="12"/>
  <c r="A72" i="12"/>
  <c r="T71" i="12"/>
  <c r="S71" i="12"/>
  <c r="R71" i="12"/>
  <c r="Q71" i="12"/>
  <c r="P71" i="12"/>
  <c r="O71" i="12"/>
  <c r="N71" i="12"/>
  <c r="M71" i="12"/>
  <c r="D71" i="12"/>
  <c r="C71" i="12"/>
  <c r="B71" i="12"/>
  <c r="A71" i="12"/>
  <c r="T70" i="12"/>
  <c r="S70" i="12"/>
  <c r="R70" i="12"/>
  <c r="Q70" i="12"/>
  <c r="P70" i="12"/>
  <c r="O70" i="12"/>
  <c r="N70" i="12"/>
  <c r="M70" i="12"/>
  <c r="D70" i="12"/>
  <c r="C70" i="12"/>
  <c r="B70" i="12"/>
  <c r="A70" i="12"/>
  <c r="T69" i="12"/>
  <c r="S69" i="12"/>
  <c r="R69" i="12"/>
  <c r="Q69" i="12"/>
  <c r="P69" i="12"/>
  <c r="O69" i="12"/>
  <c r="N69" i="12"/>
  <c r="M69" i="12"/>
  <c r="D69" i="12"/>
  <c r="C69" i="12"/>
  <c r="B69" i="12"/>
  <c r="A69" i="12"/>
  <c r="T68" i="12"/>
  <c r="S68" i="12"/>
  <c r="R68" i="12"/>
  <c r="Q68" i="12"/>
  <c r="P68" i="12"/>
  <c r="O68" i="12"/>
  <c r="N68" i="12"/>
  <c r="M68" i="12"/>
  <c r="D68" i="12"/>
  <c r="C68" i="12"/>
  <c r="B68" i="12"/>
  <c r="A68" i="12"/>
  <c r="T67" i="12"/>
  <c r="S67" i="12"/>
  <c r="R67" i="12"/>
  <c r="Q67" i="12"/>
  <c r="P67" i="12"/>
  <c r="O67" i="12"/>
  <c r="N67" i="12"/>
  <c r="M67" i="12"/>
  <c r="D67" i="12"/>
  <c r="C67" i="12"/>
  <c r="B67" i="12"/>
  <c r="A67" i="12"/>
  <c r="T66" i="12"/>
  <c r="S66" i="12"/>
  <c r="R66" i="12"/>
  <c r="Q66" i="12"/>
  <c r="P66" i="12"/>
  <c r="O66" i="12"/>
  <c r="N66" i="12"/>
  <c r="M66" i="12"/>
  <c r="D66" i="12"/>
  <c r="C66" i="12"/>
  <c r="B66" i="12"/>
  <c r="A66" i="12"/>
  <c r="T65" i="12"/>
  <c r="S65" i="12"/>
  <c r="R65" i="12"/>
  <c r="Q65" i="12"/>
  <c r="P65" i="12"/>
  <c r="O65" i="12"/>
  <c r="N65" i="12"/>
  <c r="M65" i="12"/>
  <c r="D65" i="12"/>
  <c r="C65" i="12"/>
  <c r="B65" i="12"/>
  <c r="A65" i="12"/>
  <c r="T64" i="12"/>
  <c r="S64" i="12"/>
  <c r="R64" i="12"/>
  <c r="Q64" i="12"/>
  <c r="P64" i="12"/>
  <c r="O64" i="12"/>
  <c r="N64" i="12"/>
  <c r="M64" i="12"/>
  <c r="D64" i="12"/>
  <c r="C64" i="12"/>
  <c r="B64" i="12"/>
  <c r="A64" i="12"/>
  <c r="T63" i="12"/>
  <c r="S63" i="12"/>
  <c r="R63" i="12"/>
  <c r="Q63" i="12"/>
  <c r="P63" i="12"/>
  <c r="O63" i="12"/>
  <c r="N63" i="12"/>
  <c r="M63" i="12"/>
  <c r="D63" i="12"/>
  <c r="C63" i="12"/>
  <c r="B63" i="12"/>
  <c r="A63" i="12"/>
  <c r="T62" i="12"/>
  <c r="S62" i="12"/>
  <c r="R62" i="12"/>
  <c r="Q62" i="12"/>
  <c r="P62" i="12"/>
  <c r="O62" i="12"/>
  <c r="N62" i="12"/>
  <c r="M62" i="12"/>
  <c r="D62" i="12"/>
  <c r="C62" i="12"/>
  <c r="B62" i="12"/>
  <c r="A62" i="12"/>
  <c r="T61" i="12"/>
  <c r="S61" i="12"/>
  <c r="R61" i="12"/>
  <c r="Q61" i="12"/>
  <c r="P61" i="12"/>
  <c r="O61" i="12"/>
  <c r="N61" i="12"/>
  <c r="M61" i="12"/>
  <c r="D61" i="12"/>
  <c r="C61" i="12"/>
  <c r="B61" i="12"/>
  <c r="A61" i="12"/>
  <c r="T60" i="12"/>
  <c r="S60" i="12"/>
  <c r="R60" i="12"/>
  <c r="Q60" i="12"/>
  <c r="P60" i="12"/>
  <c r="O60" i="12"/>
  <c r="N60" i="12"/>
  <c r="M60" i="12"/>
  <c r="D60" i="12"/>
  <c r="C60" i="12"/>
  <c r="B60" i="12"/>
  <c r="A60" i="12"/>
  <c r="T59" i="12"/>
  <c r="S59" i="12"/>
  <c r="R59" i="12"/>
  <c r="Q59" i="12"/>
  <c r="P59" i="12"/>
  <c r="O59" i="12"/>
  <c r="N59" i="12"/>
  <c r="M59" i="12"/>
  <c r="D59" i="12"/>
  <c r="C59" i="12"/>
  <c r="B59" i="12"/>
  <c r="A59" i="12"/>
  <c r="T58" i="12"/>
  <c r="S58" i="12"/>
  <c r="R58" i="12"/>
  <c r="Q58" i="12"/>
  <c r="P58" i="12"/>
  <c r="O58" i="12"/>
  <c r="N58" i="12"/>
  <c r="M58" i="12"/>
  <c r="D58" i="12"/>
  <c r="C58" i="12"/>
  <c r="B58" i="12"/>
  <c r="A58" i="12"/>
  <c r="T57" i="12"/>
  <c r="S57" i="12"/>
  <c r="R57" i="12"/>
  <c r="Q57" i="12"/>
  <c r="P57" i="12"/>
  <c r="O57" i="12"/>
  <c r="N57" i="12"/>
  <c r="M57" i="12"/>
  <c r="D57" i="12"/>
  <c r="C57" i="12"/>
  <c r="B57" i="12"/>
  <c r="A57" i="12"/>
  <c r="T56" i="12"/>
  <c r="S56" i="12"/>
  <c r="R56" i="12"/>
  <c r="Q56" i="12"/>
  <c r="P56" i="12"/>
  <c r="O56" i="12"/>
  <c r="N56" i="12"/>
  <c r="M56" i="12"/>
  <c r="D56" i="12"/>
  <c r="C56" i="12"/>
  <c r="B56" i="12"/>
  <c r="A56" i="12"/>
  <c r="T55" i="12"/>
  <c r="S55" i="12"/>
  <c r="R55" i="12"/>
  <c r="Q55" i="12"/>
  <c r="P55" i="12"/>
  <c r="O55" i="12"/>
  <c r="N55" i="12"/>
  <c r="M55" i="12"/>
  <c r="D55" i="12"/>
  <c r="C55" i="12"/>
  <c r="B55" i="12"/>
  <c r="A55" i="12"/>
  <c r="T54" i="12"/>
  <c r="S54" i="12"/>
  <c r="R54" i="12"/>
  <c r="Q54" i="12"/>
  <c r="P54" i="12"/>
  <c r="O54" i="12"/>
  <c r="N54" i="12"/>
  <c r="M54" i="12"/>
  <c r="D54" i="12"/>
  <c r="C54" i="12"/>
  <c r="B54" i="12"/>
  <c r="A54" i="12"/>
  <c r="T53" i="12"/>
  <c r="S53" i="12"/>
  <c r="R53" i="12"/>
  <c r="Q53" i="12"/>
  <c r="P53" i="12"/>
  <c r="O53" i="12"/>
  <c r="N53" i="12"/>
  <c r="M53" i="12"/>
  <c r="D53" i="12"/>
  <c r="C53" i="12"/>
  <c r="B53" i="12"/>
  <c r="A53" i="12"/>
  <c r="T52" i="12"/>
  <c r="S52" i="12"/>
  <c r="R52" i="12"/>
  <c r="Q52" i="12"/>
  <c r="P52" i="12"/>
  <c r="O52" i="12"/>
  <c r="N52" i="12"/>
  <c r="M52" i="12"/>
  <c r="D52" i="12"/>
  <c r="C52" i="12"/>
  <c r="B52" i="12"/>
  <c r="A52" i="12"/>
  <c r="T51" i="12"/>
  <c r="S51" i="12"/>
  <c r="R51" i="12"/>
  <c r="Q51" i="12"/>
  <c r="P51" i="12"/>
  <c r="O51" i="12"/>
  <c r="N51" i="12"/>
  <c r="M51" i="12"/>
  <c r="D51" i="12"/>
  <c r="C51" i="12"/>
  <c r="B51" i="12"/>
  <c r="A51" i="12"/>
  <c r="T50" i="12"/>
  <c r="S50" i="12"/>
  <c r="R50" i="12"/>
  <c r="Q50" i="12"/>
  <c r="P50" i="12"/>
  <c r="O50" i="12"/>
  <c r="N50" i="12"/>
  <c r="M50" i="12"/>
  <c r="D50" i="12"/>
  <c r="C50" i="12"/>
  <c r="B50" i="12"/>
  <c r="A50" i="12"/>
  <c r="T49" i="12"/>
  <c r="S49" i="12"/>
  <c r="R49" i="12"/>
  <c r="Q49" i="12"/>
  <c r="P49" i="12"/>
  <c r="O49" i="12"/>
  <c r="N49" i="12"/>
  <c r="M49" i="12"/>
  <c r="D49" i="12"/>
  <c r="C49" i="12"/>
  <c r="B49" i="12"/>
  <c r="A49" i="12"/>
  <c r="T48" i="12"/>
  <c r="S48" i="12"/>
  <c r="R48" i="12"/>
  <c r="Q48" i="12"/>
  <c r="P48" i="12"/>
  <c r="O48" i="12"/>
  <c r="N48" i="12"/>
  <c r="M48" i="12"/>
  <c r="D48" i="12"/>
  <c r="C48" i="12"/>
  <c r="B48" i="12"/>
  <c r="A48" i="12"/>
  <c r="T47" i="12"/>
  <c r="S47" i="12"/>
  <c r="R47" i="12"/>
  <c r="Q47" i="12"/>
  <c r="P47" i="12"/>
  <c r="O47" i="12"/>
  <c r="N47" i="12"/>
  <c r="M47" i="12"/>
  <c r="D47" i="12"/>
  <c r="C47" i="12"/>
  <c r="B47" i="12"/>
  <c r="A47" i="12"/>
  <c r="T46" i="12"/>
  <c r="S46" i="12"/>
  <c r="R46" i="12"/>
  <c r="Q46" i="12"/>
  <c r="P46" i="12"/>
  <c r="O46" i="12"/>
  <c r="N46" i="12"/>
  <c r="M46" i="12"/>
  <c r="D46" i="12"/>
  <c r="C46" i="12"/>
  <c r="B46" i="12"/>
  <c r="A46" i="12"/>
  <c r="T45" i="12"/>
  <c r="S45" i="12"/>
  <c r="R45" i="12"/>
  <c r="Q45" i="12"/>
  <c r="P45" i="12"/>
  <c r="O45" i="12"/>
  <c r="N45" i="12"/>
  <c r="M45" i="12"/>
  <c r="D45" i="12"/>
  <c r="C45" i="12"/>
  <c r="B45" i="12"/>
  <c r="A45" i="12"/>
  <c r="T44" i="12"/>
  <c r="S44" i="12"/>
  <c r="R44" i="12"/>
  <c r="Q44" i="12"/>
  <c r="P44" i="12"/>
  <c r="O44" i="12"/>
  <c r="N44" i="12"/>
  <c r="M44" i="12"/>
  <c r="D44" i="12"/>
  <c r="C44" i="12"/>
  <c r="B44" i="12"/>
  <c r="A44" i="12"/>
  <c r="T43" i="12"/>
  <c r="S43" i="12"/>
  <c r="R43" i="12"/>
  <c r="Q43" i="12"/>
  <c r="P43" i="12"/>
  <c r="O43" i="12"/>
  <c r="N43" i="12"/>
  <c r="M43" i="12"/>
  <c r="D43" i="12"/>
  <c r="C43" i="12"/>
  <c r="B43" i="12"/>
  <c r="A43" i="12"/>
  <c r="T42" i="12"/>
  <c r="S42" i="12"/>
  <c r="R42" i="12"/>
  <c r="Q42" i="12"/>
  <c r="P42" i="12"/>
  <c r="O42" i="12"/>
  <c r="N42" i="12"/>
  <c r="M42" i="12"/>
  <c r="D42" i="12"/>
  <c r="C42" i="12"/>
  <c r="B42" i="12"/>
  <c r="A42" i="12"/>
  <c r="T41" i="12"/>
  <c r="S41" i="12"/>
  <c r="R41" i="12"/>
  <c r="Q41" i="12"/>
  <c r="P41" i="12"/>
  <c r="O41" i="12"/>
  <c r="N41" i="12"/>
  <c r="M41" i="12"/>
  <c r="D41" i="12"/>
  <c r="C41" i="12"/>
  <c r="B41" i="12"/>
  <c r="A41" i="12"/>
  <c r="T40" i="12"/>
  <c r="S40" i="12"/>
  <c r="R40" i="12"/>
  <c r="Q40" i="12"/>
  <c r="P40" i="12"/>
  <c r="O40" i="12"/>
  <c r="N40" i="12"/>
  <c r="M40" i="12"/>
  <c r="D40" i="12"/>
  <c r="C40" i="12"/>
  <c r="B40" i="12"/>
  <c r="A40" i="12"/>
  <c r="T39" i="12"/>
  <c r="S39" i="12"/>
  <c r="R39" i="12"/>
  <c r="Q39" i="12"/>
  <c r="P39" i="12"/>
  <c r="O39" i="12"/>
  <c r="N39" i="12"/>
  <c r="M39" i="12"/>
  <c r="D39" i="12"/>
  <c r="C39" i="12"/>
  <c r="B39" i="12"/>
  <c r="A39" i="12"/>
  <c r="T38" i="12"/>
  <c r="S38" i="12"/>
  <c r="R38" i="12"/>
  <c r="Q38" i="12"/>
  <c r="P38" i="12"/>
  <c r="O38" i="12"/>
  <c r="N38" i="12"/>
  <c r="M38" i="12"/>
  <c r="D38" i="12"/>
  <c r="C38" i="12"/>
  <c r="B38" i="12"/>
  <c r="A38" i="12"/>
  <c r="T37" i="12"/>
  <c r="S37" i="12"/>
  <c r="R37" i="12"/>
  <c r="Q37" i="12"/>
  <c r="P37" i="12"/>
  <c r="O37" i="12"/>
  <c r="N37" i="12"/>
  <c r="M37" i="12"/>
  <c r="D37" i="12"/>
  <c r="C37" i="12"/>
  <c r="B37" i="12"/>
  <c r="A37" i="12"/>
  <c r="T36" i="12"/>
  <c r="S36" i="12"/>
  <c r="R36" i="12"/>
  <c r="Q36" i="12"/>
  <c r="P36" i="12"/>
  <c r="O36" i="12"/>
  <c r="N36" i="12"/>
  <c r="M36" i="12"/>
  <c r="D36" i="12"/>
  <c r="C36" i="12"/>
  <c r="B36" i="12"/>
  <c r="A36" i="12"/>
  <c r="T35" i="12"/>
  <c r="S35" i="12"/>
  <c r="R35" i="12"/>
  <c r="Q35" i="12"/>
  <c r="P35" i="12"/>
  <c r="O35" i="12"/>
  <c r="N35" i="12"/>
  <c r="M35" i="12"/>
  <c r="D35" i="12"/>
  <c r="C35" i="12"/>
  <c r="B35" i="12"/>
  <c r="A35" i="12"/>
  <c r="T34" i="12"/>
  <c r="S34" i="12"/>
  <c r="R34" i="12"/>
  <c r="Q34" i="12"/>
  <c r="P34" i="12"/>
  <c r="O34" i="12"/>
  <c r="N34" i="12"/>
  <c r="M34" i="12"/>
  <c r="D34" i="12"/>
  <c r="C34" i="12"/>
  <c r="B34" i="12"/>
  <c r="A34" i="12"/>
  <c r="T33" i="12"/>
  <c r="S33" i="12"/>
  <c r="R33" i="12"/>
  <c r="Q33" i="12"/>
  <c r="P33" i="12"/>
  <c r="O33" i="12"/>
  <c r="N33" i="12"/>
  <c r="M33" i="12"/>
  <c r="D33" i="12"/>
  <c r="C33" i="12"/>
  <c r="B33" i="12"/>
  <c r="A33" i="12"/>
  <c r="T32" i="12"/>
  <c r="S32" i="12"/>
  <c r="R32" i="12"/>
  <c r="Q32" i="12"/>
  <c r="P32" i="12"/>
  <c r="O32" i="12"/>
  <c r="N32" i="12"/>
  <c r="M32" i="12"/>
  <c r="D32" i="12"/>
  <c r="C32" i="12"/>
  <c r="B32" i="12"/>
  <c r="A32" i="12"/>
  <c r="T31" i="12"/>
  <c r="S31" i="12"/>
  <c r="R31" i="12"/>
  <c r="Q31" i="12"/>
  <c r="P31" i="12"/>
  <c r="O31" i="12"/>
  <c r="N31" i="12"/>
  <c r="M31" i="12"/>
  <c r="D31" i="12"/>
  <c r="C31" i="12"/>
  <c r="B31" i="12"/>
  <c r="A31" i="12"/>
  <c r="T30" i="12"/>
  <c r="S30" i="12"/>
  <c r="R30" i="12"/>
  <c r="Q30" i="12"/>
  <c r="P30" i="12"/>
  <c r="O30" i="12"/>
  <c r="N30" i="12"/>
  <c r="M30" i="12"/>
  <c r="D30" i="12"/>
  <c r="C30" i="12"/>
  <c r="B30" i="12"/>
  <c r="A30" i="12"/>
  <c r="T29" i="12"/>
  <c r="S29" i="12"/>
  <c r="R29" i="12"/>
  <c r="Q29" i="12"/>
  <c r="P29" i="12"/>
  <c r="O29" i="12"/>
  <c r="N29" i="12"/>
  <c r="M29" i="12"/>
  <c r="D29" i="12"/>
  <c r="C29" i="12"/>
  <c r="B29" i="12"/>
  <c r="A29" i="12"/>
  <c r="T28" i="12"/>
  <c r="S28" i="12"/>
  <c r="R28" i="12"/>
  <c r="Q28" i="12"/>
  <c r="P28" i="12"/>
  <c r="O28" i="12"/>
  <c r="N28" i="12"/>
  <c r="M28" i="12"/>
  <c r="D28" i="12"/>
  <c r="C28" i="12"/>
  <c r="B28" i="12"/>
  <c r="A28" i="12"/>
  <c r="T27" i="12"/>
  <c r="S27" i="12"/>
  <c r="R27" i="12"/>
  <c r="Q27" i="12"/>
  <c r="P27" i="12"/>
  <c r="O27" i="12"/>
  <c r="N27" i="12"/>
  <c r="M27" i="12"/>
  <c r="D27" i="12"/>
  <c r="C27" i="12"/>
  <c r="B27" i="12"/>
  <c r="A27" i="12"/>
  <c r="T26" i="12"/>
  <c r="S26" i="12"/>
  <c r="R26" i="12"/>
  <c r="Q26" i="12"/>
  <c r="P26" i="12"/>
  <c r="O26" i="12"/>
  <c r="N26" i="12"/>
  <c r="M26" i="12"/>
  <c r="D26" i="12"/>
  <c r="C26" i="12"/>
  <c r="B26" i="12"/>
  <c r="A26" i="12"/>
  <c r="T25" i="12"/>
  <c r="S25" i="12"/>
  <c r="R25" i="12"/>
  <c r="Q25" i="12"/>
  <c r="P25" i="12"/>
  <c r="O25" i="12"/>
  <c r="N25" i="12"/>
  <c r="M25" i="12"/>
  <c r="D25" i="12"/>
  <c r="C25" i="12"/>
  <c r="B25" i="12"/>
  <c r="A25" i="12"/>
  <c r="T24" i="12"/>
  <c r="S24" i="12"/>
  <c r="R24" i="12"/>
  <c r="Q24" i="12"/>
  <c r="P24" i="12"/>
  <c r="O24" i="12"/>
  <c r="N24" i="12"/>
  <c r="M24" i="12"/>
  <c r="D24" i="12"/>
  <c r="C24" i="12"/>
  <c r="B24" i="12"/>
  <c r="A24" i="12"/>
  <c r="T23" i="12"/>
  <c r="S23" i="12"/>
  <c r="R23" i="12"/>
  <c r="Q23" i="12"/>
  <c r="P23" i="12"/>
  <c r="O23" i="12"/>
  <c r="N23" i="12"/>
  <c r="M23" i="12"/>
  <c r="D23" i="12"/>
  <c r="C23" i="12"/>
  <c r="B23" i="12"/>
  <c r="A23" i="12"/>
  <c r="T22" i="12"/>
  <c r="S22" i="12"/>
  <c r="R22" i="12"/>
  <c r="Q22" i="12"/>
  <c r="P22" i="12"/>
  <c r="O22" i="12"/>
  <c r="N22" i="12"/>
  <c r="M22" i="12"/>
  <c r="D22" i="12"/>
  <c r="C22" i="12"/>
  <c r="B22" i="12"/>
  <c r="A22" i="12"/>
  <c r="T21" i="12"/>
  <c r="S21" i="12"/>
  <c r="R21" i="12"/>
  <c r="Q21" i="12"/>
  <c r="P21" i="12"/>
  <c r="O21" i="12"/>
  <c r="N21" i="12"/>
  <c r="M21" i="12"/>
  <c r="D21" i="12"/>
  <c r="C21" i="12"/>
  <c r="B21" i="12"/>
  <c r="A21" i="12"/>
  <c r="T20" i="12"/>
  <c r="S20" i="12"/>
  <c r="R20" i="12"/>
  <c r="Q20" i="12"/>
  <c r="P20" i="12"/>
  <c r="O20" i="12"/>
  <c r="N20" i="12"/>
  <c r="M20" i="12"/>
  <c r="D20" i="12"/>
  <c r="C20" i="12"/>
  <c r="B20" i="12"/>
  <c r="A20" i="12"/>
  <c r="T19" i="12"/>
  <c r="S19" i="12"/>
  <c r="R19" i="12"/>
  <c r="Q19" i="12"/>
  <c r="P19" i="12"/>
  <c r="O19" i="12"/>
  <c r="N19" i="12"/>
  <c r="M19" i="12"/>
  <c r="D19" i="12"/>
  <c r="C19" i="12"/>
  <c r="B19" i="12"/>
  <c r="A19" i="12"/>
  <c r="T18" i="12"/>
  <c r="S18" i="12"/>
  <c r="R18" i="12"/>
  <c r="Q18" i="12"/>
  <c r="P18" i="12"/>
  <c r="O18" i="12"/>
  <c r="N18" i="12"/>
  <c r="M18" i="12"/>
  <c r="D18" i="12"/>
  <c r="C18" i="12"/>
  <c r="B18" i="12"/>
  <c r="A18" i="12"/>
  <c r="T17" i="12"/>
  <c r="S17" i="12"/>
  <c r="R17" i="12"/>
  <c r="Q17" i="12"/>
  <c r="P17" i="12"/>
  <c r="O17" i="12"/>
  <c r="N17" i="12"/>
  <c r="M17" i="12"/>
  <c r="D17" i="12"/>
  <c r="C17" i="12"/>
  <c r="B17" i="12"/>
  <c r="A17" i="12"/>
  <c r="T16" i="12"/>
  <c r="S16" i="12"/>
  <c r="R16" i="12"/>
  <c r="Q16" i="12"/>
  <c r="P16" i="12"/>
  <c r="O16" i="12"/>
  <c r="N16" i="12"/>
  <c r="M16" i="12"/>
  <c r="D16" i="12"/>
  <c r="C16" i="12"/>
  <c r="B16" i="12"/>
  <c r="A16" i="12"/>
  <c r="T15" i="12"/>
  <c r="S15" i="12"/>
  <c r="R15" i="12"/>
  <c r="Q15" i="12"/>
  <c r="P15" i="12"/>
  <c r="O15" i="12"/>
  <c r="N15" i="12"/>
  <c r="M15" i="12"/>
  <c r="D15" i="12"/>
  <c r="C15" i="12"/>
  <c r="B15" i="12"/>
  <c r="A15" i="12"/>
  <c r="T14" i="12"/>
  <c r="S14" i="12"/>
  <c r="R14" i="12"/>
  <c r="Q14" i="12"/>
  <c r="P14" i="12"/>
  <c r="O14" i="12"/>
  <c r="N14" i="12"/>
  <c r="M14" i="12"/>
  <c r="D14" i="12"/>
  <c r="C14" i="12"/>
  <c r="B14" i="12"/>
  <c r="A14" i="12"/>
  <c r="T13" i="12"/>
  <c r="S13" i="12"/>
  <c r="R13" i="12"/>
  <c r="Q13" i="12"/>
  <c r="P13" i="12"/>
  <c r="O13" i="12"/>
  <c r="N13" i="12"/>
  <c r="M13" i="12"/>
  <c r="D13" i="12"/>
  <c r="C13" i="12"/>
  <c r="B13" i="12"/>
  <c r="A13" i="12"/>
  <c r="T12" i="12"/>
  <c r="S12" i="12"/>
  <c r="R12" i="12"/>
  <c r="Q12" i="12"/>
  <c r="P12" i="12"/>
  <c r="O12" i="12"/>
  <c r="N12" i="12"/>
  <c r="M12" i="12"/>
  <c r="D12" i="12"/>
  <c r="C12" i="12"/>
  <c r="B12" i="12"/>
  <c r="A12" i="12"/>
  <c r="T11" i="12"/>
  <c r="S11" i="12"/>
  <c r="R11" i="12"/>
  <c r="Q11" i="12"/>
  <c r="P11" i="12"/>
  <c r="O11" i="12"/>
  <c r="N11" i="12"/>
  <c r="M11" i="12"/>
  <c r="D11" i="12"/>
  <c r="C11" i="12"/>
  <c r="B11" i="12"/>
  <c r="A11" i="12"/>
  <c r="T10" i="12"/>
  <c r="S10" i="12"/>
  <c r="R10" i="12"/>
  <c r="Q10" i="12"/>
  <c r="P10" i="12"/>
  <c r="O10" i="12"/>
  <c r="N10" i="12"/>
  <c r="M10" i="12"/>
  <c r="D10" i="12"/>
  <c r="C10" i="12"/>
  <c r="B10" i="12"/>
  <c r="A10" i="12"/>
  <c r="T9" i="12"/>
  <c r="S9" i="12"/>
  <c r="R9" i="12"/>
  <c r="Q9" i="12"/>
  <c r="P9" i="12"/>
  <c r="O9" i="12"/>
  <c r="N9" i="12"/>
  <c r="M9" i="12"/>
  <c r="D9" i="12"/>
  <c r="C9" i="12"/>
  <c r="B9" i="12"/>
  <c r="A9" i="12"/>
  <c r="T8" i="12"/>
  <c r="S8" i="12"/>
  <c r="R8" i="12"/>
  <c r="Q8" i="12"/>
  <c r="P8" i="12"/>
  <c r="O8" i="12"/>
  <c r="N8" i="12"/>
  <c r="M8" i="12"/>
  <c r="D8" i="12"/>
  <c r="C8" i="12"/>
  <c r="B8" i="12"/>
  <c r="A8" i="12"/>
  <c r="T7" i="12"/>
  <c r="S7" i="12"/>
  <c r="R7" i="12"/>
  <c r="Q7" i="12"/>
  <c r="P7" i="12"/>
  <c r="O7" i="12"/>
  <c r="N7" i="12"/>
  <c r="M7" i="12"/>
  <c r="D7" i="12"/>
  <c r="C7" i="12"/>
  <c r="B7" i="12"/>
  <c r="A7" i="12"/>
  <c r="S190" i="12"/>
  <c r="Q190" i="12"/>
  <c r="P190" i="12"/>
  <c r="N190" i="12"/>
  <c r="D6" i="12"/>
  <c r="B6" i="12"/>
  <c r="A6" i="12"/>
  <c r="O190" i="11"/>
  <c r="O192" i="11" s="1"/>
  <c r="N190" i="11"/>
  <c r="N192" i="11" s="1"/>
  <c r="M190" i="11"/>
  <c r="M192" i="11" s="1"/>
  <c r="L190" i="11"/>
  <c r="L192" i="11" s="1"/>
  <c r="K190" i="11"/>
  <c r="K192" i="11" s="1"/>
  <c r="J190" i="11"/>
  <c r="J192" i="11" s="1"/>
  <c r="I190" i="11"/>
  <c r="I192" i="11" s="1"/>
  <c r="H190" i="11"/>
  <c r="H192" i="11" s="1"/>
  <c r="P189" i="11"/>
  <c r="C188" i="13" s="1"/>
  <c r="P188" i="11"/>
  <c r="C187" i="13" s="1"/>
  <c r="P187" i="11"/>
  <c r="C186" i="13" s="1"/>
  <c r="P186" i="11"/>
  <c r="C185" i="13" s="1"/>
  <c r="P185" i="11"/>
  <c r="C184" i="13" s="1"/>
  <c r="P184" i="11"/>
  <c r="C183" i="13" s="1"/>
  <c r="P183" i="11"/>
  <c r="C182" i="13" s="1"/>
  <c r="P182" i="11"/>
  <c r="C181" i="13" s="1"/>
  <c r="P181" i="11"/>
  <c r="C180" i="13" s="1"/>
  <c r="P180" i="11"/>
  <c r="C179" i="13" s="1"/>
  <c r="P179" i="11"/>
  <c r="C178" i="13" s="1"/>
  <c r="P178" i="11"/>
  <c r="C177" i="13" s="1"/>
  <c r="P177" i="11"/>
  <c r="C176" i="13" s="1"/>
  <c r="P176" i="11"/>
  <c r="C175" i="13" s="1"/>
  <c r="P175" i="11"/>
  <c r="C174" i="13" s="1"/>
  <c r="P174" i="11"/>
  <c r="C173" i="13" s="1"/>
  <c r="P173" i="11"/>
  <c r="C172" i="13" s="1"/>
  <c r="P172" i="11"/>
  <c r="C171" i="13" s="1"/>
  <c r="P171" i="11"/>
  <c r="C170" i="13" s="1"/>
  <c r="P170" i="11"/>
  <c r="C169" i="13" s="1"/>
  <c r="P169" i="11"/>
  <c r="C168" i="13" s="1"/>
  <c r="P168" i="11"/>
  <c r="C167" i="13" s="1"/>
  <c r="P167" i="11"/>
  <c r="C166" i="13" s="1"/>
  <c r="P166" i="11"/>
  <c r="C165" i="13" s="1"/>
  <c r="P165" i="11"/>
  <c r="C164" i="13" s="1"/>
  <c r="P164" i="11"/>
  <c r="C163" i="13" s="1"/>
  <c r="P163" i="11"/>
  <c r="C162" i="13" s="1"/>
  <c r="P162" i="11"/>
  <c r="C161" i="13" s="1"/>
  <c r="P161" i="11"/>
  <c r="C160" i="13" s="1"/>
  <c r="P160" i="11"/>
  <c r="C159" i="13" s="1"/>
  <c r="P159" i="11"/>
  <c r="C158" i="13" s="1"/>
  <c r="P158" i="11"/>
  <c r="C157" i="13" s="1"/>
  <c r="P157" i="11"/>
  <c r="C156" i="13" s="1"/>
  <c r="P156" i="11"/>
  <c r="C155" i="13" s="1"/>
  <c r="P155" i="11"/>
  <c r="C154" i="13" s="1"/>
  <c r="P154" i="11"/>
  <c r="C153" i="13" s="1"/>
  <c r="P153" i="11"/>
  <c r="C152" i="13" s="1"/>
  <c r="P152" i="11"/>
  <c r="C151" i="13" s="1"/>
  <c r="P151" i="11"/>
  <c r="C150" i="13" s="1"/>
  <c r="P150" i="11"/>
  <c r="C149" i="13" s="1"/>
  <c r="P149" i="11"/>
  <c r="C148" i="13" s="1"/>
  <c r="P148" i="11"/>
  <c r="C147" i="13" s="1"/>
  <c r="P147" i="11"/>
  <c r="C146" i="13" s="1"/>
  <c r="P146" i="11"/>
  <c r="C145" i="13" s="1"/>
  <c r="P145" i="11"/>
  <c r="C144" i="13" s="1"/>
  <c r="P144" i="11"/>
  <c r="C143" i="13" s="1"/>
  <c r="P143" i="11"/>
  <c r="C142" i="13" s="1"/>
  <c r="P142" i="11"/>
  <c r="C141" i="13" s="1"/>
  <c r="P141" i="11"/>
  <c r="C140" i="13" s="1"/>
  <c r="P140" i="11"/>
  <c r="C139" i="13" s="1"/>
  <c r="P139" i="11"/>
  <c r="C138" i="13" s="1"/>
  <c r="P138" i="11"/>
  <c r="C137" i="13" s="1"/>
  <c r="P137" i="11"/>
  <c r="C136" i="13" s="1"/>
  <c r="P136" i="11"/>
  <c r="C135" i="13" s="1"/>
  <c r="P135" i="11"/>
  <c r="C134" i="13" s="1"/>
  <c r="P134" i="11"/>
  <c r="C133" i="13" s="1"/>
  <c r="P133" i="11"/>
  <c r="C132" i="13" s="1"/>
  <c r="P132" i="11"/>
  <c r="C131" i="13" s="1"/>
  <c r="P131" i="11"/>
  <c r="C130" i="13" s="1"/>
  <c r="P130" i="11"/>
  <c r="C129" i="13" s="1"/>
  <c r="P129" i="11"/>
  <c r="C128" i="13" s="1"/>
  <c r="P128" i="11"/>
  <c r="C127" i="13" s="1"/>
  <c r="P127" i="11"/>
  <c r="C126" i="13" s="1"/>
  <c r="P126" i="11"/>
  <c r="C125" i="13" s="1"/>
  <c r="P125" i="11"/>
  <c r="C124" i="13" s="1"/>
  <c r="P124" i="11"/>
  <c r="C123" i="13" s="1"/>
  <c r="P123" i="11"/>
  <c r="C122" i="13" s="1"/>
  <c r="P122" i="11"/>
  <c r="C121" i="13" s="1"/>
  <c r="P121" i="11"/>
  <c r="C120" i="13" s="1"/>
  <c r="P120" i="11"/>
  <c r="C119" i="13" s="1"/>
  <c r="P119" i="11"/>
  <c r="C118" i="13" s="1"/>
  <c r="P118" i="11"/>
  <c r="C117" i="13" s="1"/>
  <c r="P117" i="11"/>
  <c r="C116" i="13" s="1"/>
  <c r="P116" i="11"/>
  <c r="C115" i="13" s="1"/>
  <c r="P115" i="11"/>
  <c r="C114" i="13" s="1"/>
  <c r="P114" i="11"/>
  <c r="C113" i="13" s="1"/>
  <c r="P113" i="11"/>
  <c r="C112" i="13" s="1"/>
  <c r="P112" i="11"/>
  <c r="C111" i="13" s="1"/>
  <c r="P111" i="11"/>
  <c r="C110" i="13" s="1"/>
  <c r="P110" i="11"/>
  <c r="C109" i="13" s="1"/>
  <c r="P109" i="11"/>
  <c r="C108" i="13" s="1"/>
  <c r="P108" i="11"/>
  <c r="C107" i="13" s="1"/>
  <c r="P107" i="11"/>
  <c r="C106" i="13" s="1"/>
  <c r="P106" i="11"/>
  <c r="C105" i="13" s="1"/>
  <c r="P105" i="11"/>
  <c r="C104" i="13" s="1"/>
  <c r="P104" i="11"/>
  <c r="C103" i="13" s="1"/>
  <c r="P103" i="11"/>
  <c r="C102" i="13" s="1"/>
  <c r="P102" i="11"/>
  <c r="C101" i="13" s="1"/>
  <c r="P101" i="11"/>
  <c r="C100" i="13" s="1"/>
  <c r="P100" i="11"/>
  <c r="C99" i="13" s="1"/>
  <c r="P99" i="11"/>
  <c r="C98" i="13" s="1"/>
  <c r="P98" i="11"/>
  <c r="C97" i="13" s="1"/>
  <c r="P97" i="11"/>
  <c r="C96" i="13" s="1"/>
  <c r="P96" i="11"/>
  <c r="C95" i="13" s="1"/>
  <c r="P95" i="11"/>
  <c r="C94" i="13" s="1"/>
  <c r="P94" i="11"/>
  <c r="C93" i="13" s="1"/>
  <c r="P93" i="11"/>
  <c r="C92" i="13" s="1"/>
  <c r="P92" i="11"/>
  <c r="C91" i="13" s="1"/>
  <c r="P91" i="11"/>
  <c r="C90" i="13" s="1"/>
  <c r="P90" i="11"/>
  <c r="C89" i="13" s="1"/>
  <c r="P89" i="11"/>
  <c r="C88" i="13" s="1"/>
  <c r="P88" i="11"/>
  <c r="C87" i="13" s="1"/>
  <c r="P87" i="11"/>
  <c r="C86" i="13" s="1"/>
  <c r="P86" i="11"/>
  <c r="C85" i="13" s="1"/>
  <c r="P85" i="11"/>
  <c r="C84" i="13" s="1"/>
  <c r="P84" i="11"/>
  <c r="C83" i="13" s="1"/>
  <c r="P83" i="11"/>
  <c r="C82" i="13" s="1"/>
  <c r="P82" i="11"/>
  <c r="C81" i="13" s="1"/>
  <c r="P81" i="11"/>
  <c r="C80" i="13" s="1"/>
  <c r="P80" i="11"/>
  <c r="C79" i="13" s="1"/>
  <c r="P79" i="11"/>
  <c r="C78" i="13" s="1"/>
  <c r="P78" i="11"/>
  <c r="C77" i="13" s="1"/>
  <c r="P77" i="11"/>
  <c r="C76" i="13" s="1"/>
  <c r="P76" i="11"/>
  <c r="C75" i="13" s="1"/>
  <c r="P75" i="11"/>
  <c r="C74" i="13" s="1"/>
  <c r="P74" i="11"/>
  <c r="C73" i="13" s="1"/>
  <c r="P73" i="11"/>
  <c r="C72" i="13" s="1"/>
  <c r="P72" i="11"/>
  <c r="C71" i="13" s="1"/>
  <c r="P71" i="11"/>
  <c r="C70" i="13" s="1"/>
  <c r="P70" i="11"/>
  <c r="C69" i="13" s="1"/>
  <c r="P69" i="11"/>
  <c r="C68" i="13" s="1"/>
  <c r="P68" i="11"/>
  <c r="C67" i="13" s="1"/>
  <c r="P67" i="11"/>
  <c r="C66" i="13" s="1"/>
  <c r="P66" i="11"/>
  <c r="C65" i="13" s="1"/>
  <c r="P65" i="11"/>
  <c r="C64" i="13" s="1"/>
  <c r="P64" i="11"/>
  <c r="C63" i="13" s="1"/>
  <c r="P63" i="11"/>
  <c r="C62" i="13" s="1"/>
  <c r="P62" i="11"/>
  <c r="C61" i="13" s="1"/>
  <c r="P61" i="11"/>
  <c r="C60" i="13" s="1"/>
  <c r="P60" i="11"/>
  <c r="C59" i="13" s="1"/>
  <c r="P59" i="11"/>
  <c r="C58" i="13" s="1"/>
  <c r="P58" i="11"/>
  <c r="C57" i="13" s="1"/>
  <c r="P57" i="11"/>
  <c r="C56" i="13" s="1"/>
  <c r="P56" i="11"/>
  <c r="C55" i="13" s="1"/>
  <c r="P55" i="11"/>
  <c r="C54" i="13" s="1"/>
  <c r="P54" i="11"/>
  <c r="C53" i="13" s="1"/>
  <c r="P53" i="11"/>
  <c r="C52" i="13" s="1"/>
  <c r="P52" i="11"/>
  <c r="C51" i="13" s="1"/>
  <c r="P51" i="11"/>
  <c r="C50" i="13" s="1"/>
  <c r="P50" i="11"/>
  <c r="C49" i="13" s="1"/>
  <c r="P49" i="11"/>
  <c r="C48" i="13" s="1"/>
  <c r="P48" i="11"/>
  <c r="C47" i="13" s="1"/>
  <c r="P47" i="11"/>
  <c r="C46" i="13" s="1"/>
  <c r="P46" i="11"/>
  <c r="C45" i="13" s="1"/>
  <c r="P45" i="11"/>
  <c r="C44" i="13" s="1"/>
  <c r="P44" i="11"/>
  <c r="C43" i="13" s="1"/>
  <c r="P43" i="11"/>
  <c r="C42" i="13" s="1"/>
  <c r="P42" i="11"/>
  <c r="C41" i="13" s="1"/>
  <c r="P41" i="11"/>
  <c r="C40" i="13" s="1"/>
  <c r="P40" i="11"/>
  <c r="C39" i="13" s="1"/>
  <c r="P39" i="11"/>
  <c r="C38" i="13" s="1"/>
  <c r="P38" i="11"/>
  <c r="C37" i="13" s="1"/>
  <c r="P37" i="11"/>
  <c r="C36" i="13" s="1"/>
  <c r="P36" i="11"/>
  <c r="C35" i="13" s="1"/>
  <c r="P35" i="11"/>
  <c r="C34" i="13" s="1"/>
  <c r="P34" i="11"/>
  <c r="C33" i="13" s="1"/>
  <c r="P33" i="11"/>
  <c r="C32" i="13" s="1"/>
  <c r="P32" i="11"/>
  <c r="C31" i="13" s="1"/>
  <c r="P31" i="11"/>
  <c r="C30" i="13" s="1"/>
  <c r="P30" i="11"/>
  <c r="C29" i="13" s="1"/>
  <c r="P29" i="11"/>
  <c r="C28" i="13" s="1"/>
  <c r="P28" i="11"/>
  <c r="C27" i="13" s="1"/>
  <c r="P27" i="11"/>
  <c r="C26" i="13" s="1"/>
  <c r="P26" i="11"/>
  <c r="C25" i="13" s="1"/>
  <c r="P25" i="11"/>
  <c r="C24" i="13" s="1"/>
  <c r="P24" i="11"/>
  <c r="C23" i="13" s="1"/>
  <c r="P23" i="11"/>
  <c r="C22" i="13" s="1"/>
  <c r="P22" i="11"/>
  <c r="C21" i="13" s="1"/>
  <c r="P21" i="11"/>
  <c r="C20" i="13" s="1"/>
  <c r="P20" i="11"/>
  <c r="C19" i="13" s="1"/>
  <c r="P19" i="11"/>
  <c r="C18" i="13" s="1"/>
  <c r="P18" i="11"/>
  <c r="C17" i="13" s="1"/>
  <c r="P17" i="11"/>
  <c r="C16" i="13" s="1"/>
  <c r="P16" i="11"/>
  <c r="C15" i="13" s="1"/>
  <c r="P15" i="11"/>
  <c r="C14" i="13" s="1"/>
  <c r="P14" i="11"/>
  <c r="C13" i="13" s="1"/>
  <c r="P13" i="11"/>
  <c r="C12" i="13" s="1"/>
  <c r="P12" i="11"/>
  <c r="C11" i="13" s="1"/>
  <c r="P11" i="11"/>
  <c r="C10" i="13" s="1"/>
  <c r="P10" i="11"/>
  <c r="C9" i="13" s="1"/>
  <c r="P9" i="11"/>
  <c r="C8" i="13" s="1"/>
  <c r="P8" i="11"/>
  <c r="C7" i="13" s="1"/>
  <c r="P7" i="11"/>
  <c r="C6" i="13" s="1"/>
  <c r="P6" i="11"/>
  <c r="C5" i="13" s="1"/>
  <c r="R14" i="10"/>
  <c r="Q14" i="10"/>
  <c r="P14" i="10"/>
  <c r="O14" i="10"/>
  <c r="N14" i="10"/>
  <c r="L14" i="10"/>
  <c r="K14" i="10"/>
  <c r="M13" i="10"/>
  <c r="L13" i="10"/>
  <c r="K13" i="10"/>
  <c r="J13" i="10"/>
  <c r="J14" i="10" s="1"/>
  <c r="I13" i="10"/>
  <c r="H13" i="10"/>
  <c r="G13" i="10"/>
  <c r="J11" i="10"/>
  <c r="H11" i="10"/>
  <c r="G11" i="10"/>
  <c r="U11" i="10" s="1"/>
  <c r="K10" i="10"/>
  <c r="K11" i="10" s="1"/>
  <c r="G10" i="10"/>
  <c r="U10" i="10" s="1"/>
  <c r="K9" i="10"/>
  <c r="J9" i="10"/>
  <c r="I9" i="10"/>
  <c r="G9" i="10"/>
  <c r="R7" i="10"/>
  <c r="Q7" i="10"/>
  <c r="P7" i="10"/>
  <c r="N7" i="10"/>
  <c r="L7" i="10"/>
  <c r="F7" i="10"/>
  <c r="E7" i="10"/>
  <c r="T6" i="10"/>
  <c r="M6" i="10"/>
  <c r="I6" i="10"/>
  <c r="G6" i="10"/>
  <c r="D6" i="10"/>
  <c r="T5" i="10"/>
  <c r="O5" i="10"/>
  <c r="O7" i="10" s="1"/>
  <c r="M5" i="10"/>
  <c r="M14" i="10" s="1"/>
  <c r="L5" i="10"/>
  <c r="K5" i="10"/>
  <c r="J5" i="10"/>
  <c r="I5" i="10"/>
  <c r="I14" i="10" s="1"/>
  <c r="H5" i="10"/>
  <c r="G5" i="10"/>
  <c r="F5" i="10"/>
  <c r="F14" i="10" s="1"/>
  <c r="E5" i="10"/>
  <c r="E14" i="10" s="1"/>
  <c r="J4" i="9"/>
  <c r="F4" i="9"/>
  <c r="F5" i="9" s="1"/>
  <c r="Q5" i="8"/>
  <c r="M5" i="8" a="1"/>
  <c r="M5" i="8" s="1"/>
  <c r="O5" i="8" s="1"/>
  <c r="L5" i="8"/>
  <c r="J6" i="8" s="1"/>
  <c r="K5" i="8"/>
  <c r="P5" i="8" s="1"/>
  <c r="R5" i="8" s="1"/>
  <c r="J5" i="8"/>
  <c r="G20" i="7"/>
  <c r="H20" i="7" s="1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G2" i="7" s="1"/>
  <c r="H2" i="7" s="1"/>
  <c r="F3" i="7"/>
  <c r="F2" i="7"/>
  <c r="B16" i="6"/>
  <c r="B15" i="6"/>
  <c r="B14" i="6"/>
  <c r="B13" i="6"/>
  <c r="B12" i="6"/>
  <c r="B11" i="6"/>
  <c r="B10" i="6"/>
  <c r="F11" i="6"/>
  <c r="F9" i="6" a="1"/>
  <c r="F10" i="6" s="1"/>
  <c r="E12" i="6"/>
  <c r="E9" i="6" a="1"/>
  <c r="E16" i="6" s="1"/>
  <c r="D15" i="6"/>
  <c r="D12" i="6"/>
  <c r="D9" i="6" a="1"/>
  <c r="D11" i="6" s="1"/>
  <c r="C14" i="6"/>
  <c r="C9" i="6" a="1"/>
  <c r="B9" i="6"/>
  <c r="F91" i="5"/>
  <c r="E91" i="5"/>
  <c r="D91" i="5"/>
  <c r="B91" i="5"/>
  <c r="Q86" i="5"/>
  <c r="R86" i="5" s="1"/>
  <c r="H86" i="5"/>
  <c r="G86" i="5"/>
  <c r="F86" i="5"/>
  <c r="E86" i="5"/>
  <c r="R85" i="5"/>
  <c r="Q85" i="5"/>
  <c r="Q84" i="5"/>
  <c r="R84" i="5" s="1"/>
  <c r="R87" i="5" s="1"/>
  <c r="S87" i="5" s="1"/>
  <c r="T87" i="5" s="1"/>
  <c r="E81" i="5"/>
  <c r="E76" i="5"/>
  <c r="E71" i="5"/>
  <c r="B71" i="5"/>
  <c r="D71" i="5" s="1"/>
  <c r="F71" i="5" s="1"/>
  <c r="R67" i="5"/>
  <c r="S67" i="5" s="1"/>
  <c r="T67" i="5" s="1"/>
  <c r="Q66" i="5"/>
  <c r="R66" i="5" s="1"/>
  <c r="H66" i="5"/>
  <c r="F66" i="5"/>
  <c r="E66" i="5"/>
  <c r="G66" i="5" s="1"/>
  <c r="Q65" i="5"/>
  <c r="R65" i="5" s="1"/>
  <c r="Q64" i="5"/>
  <c r="R64" i="5" s="1"/>
  <c r="E61" i="5"/>
  <c r="E56" i="5"/>
  <c r="E51" i="5"/>
  <c r="B51" i="5"/>
  <c r="Q46" i="5"/>
  <c r="R46" i="5" s="1"/>
  <c r="H46" i="5"/>
  <c r="F46" i="5"/>
  <c r="E46" i="5"/>
  <c r="G46" i="5" s="1"/>
  <c r="Q45" i="5"/>
  <c r="R45" i="5" s="1"/>
  <c r="Q44" i="5"/>
  <c r="R44" i="5" s="1"/>
  <c r="R47" i="5" s="1"/>
  <c r="S47" i="5" s="1"/>
  <c r="T47" i="5" s="1"/>
  <c r="E41" i="5"/>
  <c r="Q36" i="5"/>
  <c r="R36" i="5" s="1"/>
  <c r="K36" i="5"/>
  <c r="G36" i="5"/>
  <c r="E36" i="5"/>
  <c r="F36" i="5" s="1"/>
  <c r="B11" i="5"/>
  <c r="J9" i="5"/>
  <c r="K9" i="5" s="1"/>
  <c r="B9" i="5"/>
  <c r="D9" i="5" s="1"/>
  <c r="E9" i="5" s="1"/>
  <c r="J8" i="5"/>
  <c r="K8" i="5" s="1"/>
  <c r="L6" i="4"/>
  <c r="K6" i="4"/>
  <c r="F6" i="4"/>
  <c r="H6" i="4" s="1"/>
  <c r="E6" i="4"/>
  <c r="P121" i="2" a="1"/>
  <c r="P121" i="2"/>
  <c r="P120" i="2" a="1"/>
  <c r="P120" i="2"/>
  <c r="P119" i="2" a="1"/>
  <c r="P119" i="2" s="1"/>
  <c r="O104" i="2"/>
  <c r="N104" i="2"/>
  <c r="M104" i="2"/>
  <c r="L104" i="2"/>
  <c r="K104" i="2"/>
  <c r="J104" i="2"/>
  <c r="P104" i="2" s="1"/>
  <c r="O103" i="2"/>
  <c r="N103" i="2"/>
  <c r="M103" i="2"/>
  <c r="L103" i="2"/>
  <c r="K103" i="2"/>
  <c r="J103" i="2"/>
  <c r="P103" i="2" s="1"/>
  <c r="O102" i="2"/>
  <c r="N102" i="2"/>
  <c r="M102" i="2"/>
  <c r="L102" i="2"/>
  <c r="K102" i="2"/>
  <c r="J102" i="2"/>
  <c r="P102" i="2" s="1"/>
  <c r="P97" i="2" a="1"/>
  <c r="P97" i="2" s="1"/>
  <c r="I97" i="2"/>
  <c r="J97" i="2" s="1"/>
  <c r="K97" i="2" s="1"/>
  <c r="L97" i="2" s="1"/>
  <c r="M97" i="2" s="1"/>
  <c r="N97" i="2" s="1"/>
  <c r="O97" i="2" s="1"/>
  <c r="P96" i="2" a="1"/>
  <c r="P96" i="2" s="1"/>
  <c r="L96" i="2"/>
  <c r="M96" i="2" s="1"/>
  <c r="N96" i="2" s="1"/>
  <c r="O96" i="2" s="1"/>
  <c r="J96" i="2"/>
  <c r="K96" i="2" s="1"/>
  <c r="I96" i="2"/>
  <c r="H85" i="2"/>
  <c r="I85" i="2" s="1"/>
  <c r="J85" i="2" s="1"/>
  <c r="K85" i="2" s="1"/>
  <c r="L85" i="2" s="1"/>
  <c r="M85" i="2" s="1"/>
  <c r="N85" i="2" s="1"/>
  <c r="O85" i="2" s="1"/>
  <c r="P85" i="2" s="1"/>
  <c r="H84" i="2"/>
  <c r="D115" i="3" s="1"/>
  <c r="H83" i="2"/>
  <c r="I83" i="2" s="1"/>
  <c r="J83" i="2" s="1"/>
  <c r="K83" i="2" s="1"/>
  <c r="L83" i="2" s="1"/>
  <c r="M83" i="2" s="1"/>
  <c r="N83" i="2" s="1"/>
  <c r="O83" i="2" s="1"/>
  <c r="P83" i="2" s="1"/>
  <c r="H82" i="2"/>
  <c r="H81" i="2"/>
  <c r="D112" i="3" s="1"/>
  <c r="J80" i="2"/>
  <c r="K80" i="2" s="1"/>
  <c r="L80" i="2" s="1"/>
  <c r="M80" i="2" s="1"/>
  <c r="N80" i="2" s="1"/>
  <c r="O80" i="2" s="1"/>
  <c r="P80" i="2" s="1"/>
  <c r="I80" i="2"/>
  <c r="P77" i="2" a="1"/>
  <c r="P77" i="2" s="1"/>
  <c r="P76" i="2" a="1"/>
  <c r="P76" i="2" s="1"/>
  <c r="I76" i="2"/>
  <c r="I75" i="2"/>
  <c r="J75" i="2" s="1"/>
  <c r="K75" i="2" s="1"/>
  <c r="L75" i="2" s="1"/>
  <c r="M75" i="2" s="1"/>
  <c r="N75" i="2" s="1"/>
  <c r="O75" i="2" s="1"/>
  <c r="P75" i="2" s="1"/>
  <c r="I74" i="2"/>
  <c r="J74" i="2" s="1"/>
  <c r="K74" i="2" s="1"/>
  <c r="L74" i="2" s="1"/>
  <c r="M74" i="2" s="1"/>
  <c r="N74" i="2" s="1"/>
  <c r="O74" i="2" s="1"/>
  <c r="P74" i="2" s="1"/>
  <c r="P73" i="2" a="1"/>
  <c r="P73" i="2" s="1"/>
  <c r="I73" i="2"/>
  <c r="J73" i="2" s="1"/>
  <c r="K73" i="2" s="1"/>
  <c r="L73" i="2" s="1"/>
  <c r="M73" i="2" s="1"/>
  <c r="N73" i="2" s="1"/>
  <c r="O73" i="2" s="1"/>
  <c r="I72" i="2"/>
  <c r="J72" i="2" s="1"/>
  <c r="K72" i="2" s="1"/>
  <c r="L72" i="2" s="1"/>
  <c r="M72" i="2" s="1"/>
  <c r="N72" i="2" s="1"/>
  <c r="O72" i="2" s="1"/>
  <c r="P72" i="2" s="1"/>
  <c r="I71" i="2"/>
  <c r="J71" i="2" s="1"/>
  <c r="K71" i="2" s="1"/>
  <c r="L71" i="2" s="1"/>
  <c r="M71" i="2" s="1"/>
  <c r="N71" i="2" s="1"/>
  <c r="O71" i="2" s="1"/>
  <c r="P71" i="2" s="1"/>
  <c r="I66" i="2"/>
  <c r="J66" i="2" s="1"/>
  <c r="K66" i="2" s="1"/>
  <c r="L66" i="2" s="1"/>
  <c r="M66" i="2" s="1"/>
  <c r="N66" i="2" s="1"/>
  <c r="O66" i="2" s="1"/>
  <c r="P66" i="2" s="1"/>
  <c r="J64" i="2"/>
  <c r="K64" i="2" s="1"/>
  <c r="L64" i="2" s="1"/>
  <c r="M64" i="2" s="1"/>
  <c r="N64" i="2" s="1"/>
  <c r="O64" i="2" s="1"/>
  <c r="P64" i="2" s="1"/>
  <c r="I64" i="2"/>
  <c r="H64" i="2"/>
  <c r="P63" i="2" a="1"/>
  <c r="P63" i="2" s="1"/>
  <c r="H62" i="2"/>
  <c r="H63" i="2" s="1"/>
  <c r="I63" i="2" s="1"/>
  <c r="J63" i="2" s="1"/>
  <c r="K63" i="2" s="1"/>
  <c r="L63" i="2" s="1"/>
  <c r="M63" i="2" s="1"/>
  <c r="N63" i="2" s="1"/>
  <c r="O63" i="2" s="1"/>
  <c r="P59" i="2" a="1"/>
  <c r="P59" i="2" s="1"/>
  <c r="I59" i="2"/>
  <c r="J59" i="2" s="1"/>
  <c r="K59" i="2" s="1"/>
  <c r="L59" i="2" s="1"/>
  <c r="M59" i="2" s="1"/>
  <c r="N59" i="2" s="1"/>
  <c r="O59" i="2" s="1"/>
  <c r="P58" i="2" a="1"/>
  <c r="P58" i="2"/>
  <c r="I58" i="2"/>
  <c r="J58" i="2" s="1"/>
  <c r="K58" i="2" s="1"/>
  <c r="L58" i="2" s="1"/>
  <c r="M58" i="2" s="1"/>
  <c r="N58" i="2" s="1"/>
  <c r="O58" i="2" s="1"/>
  <c r="P57" i="2" a="1"/>
  <c r="P57" i="2" s="1"/>
  <c r="I57" i="2"/>
  <c r="J57" i="2" s="1"/>
  <c r="K57" i="2" s="1"/>
  <c r="L57" i="2" s="1"/>
  <c r="M57" i="2" s="1"/>
  <c r="N57" i="2" s="1"/>
  <c r="O57" i="2" s="1"/>
  <c r="P56" i="2" a="1"/>
  <c r="P56" i="2" s="1"/>
  <c r="I56" i="2"/>
  <c r="J56" i="2" s="1"/>
  <c r="K56" i="2" s="1"/>
  <c r="L56" i="2" s="1"/>
  <c r="M56" i="2" s="1"/>
  <c r="N56" i="2" s="1"/>
  <c r="O56" i="2" s="1"/>
  <c r="P55" i="2" a="1"/>
  <c r="P55" i="2"/>
  <c r="J55" i="2"/>
  <c r="K55" i="2" s="1"/>
  <c r="L55" i="2" s="1"/>
  <c r="M55" i="2" s="1"/>
  <c r="N55" i="2" s="1"/>
  <c r="O55" i="2" s="1"/>
  <c r="I55" i="2"/>
  <c r="P54" i="2" a="1"/>
  <c r="P54" i="2" s="1"/>
  <c r="I54" i="2"/>
  <c r="J54" i="2" s="1"/>
  <c r="K54" i="2" s="1"/>
  <c r="L54" i="2" s="1"/>
  <c r="M54" i="2" s="1"/>
  <c r="N54" i="2" s="1"/>
  <c r="O54" i="2" s="1"/>
  <c r="P38" i="2" a="1"/>
  <c r="P38" i="2" s="1"/>
  <c r="P37" i="2" a="1"/>
  <c r="P37" i="2" s="1"/>
  <c r="I37" i="2"/>
  <c r="J37" i="2" s="1"/>
  <c r="K37" i="2" s="1"/>
  <c r="L37" i="2" s="1"/>
  <c r="M37" i="2" s="1"/>
  <c r="N37" i="2" s="1"/>
  <c r="O37" i="2" s="1"/>
  <c r="P36" i="2" a="1"/>
  <c r="P36" i="2" s="1"/>
  <c r="I36" i="2"/>
  <c r="H35" i="2"/>
  <c r="C35" i="2"/>
  <c r="P34" i="2" a="1"/>
  <c r="P34" i="2" s="1"/>
  <c r="D56" i="3" s="1"/>
  <c r="P33" i="2" a="1"/>
  <c r="P33" i="2" s="1"/>
  <c r="D55" i="3" s="1"/>
  <c r="P32" i="2" a="1"/>
  <c r="P32" i="2" s="1"/>
  <c r="D54" i="3" s="1"/>
  <c r="P31" i="2" a="1"/>
  <c r="P31" i="2" s="1"/>
  <c r="P30" i="2" a="1"/>
  <c r="P30" i="2" s="1"/>
  <c r="D52" i="3" s="1"/>
  <c r="P29" i="2" a="1"/>
  <c r="P29" i="2" s="1"/>
  <c r="D51" i="3" s="1"/>
  <c r="O24" i="2"/>
  <c r="N24" i="2"/>
  <c r="M24" i="2"/>
  <c r="L24" i="2"/>
  <c r="K24" i="2"/>
  <c r="J24" i="2"/>
  <c r="I24" i="2"/>
  <c r="H24" i="2"/>
  <c r="P24" i="2" s="1" a="1"/>
  <c r="P24" i="2" s="1"/>
  <c r="D45" i="3" s="1"/>
  <c r="D6" i="2"/>
  <c r="D5" i="2"/>
  <c r="L151" i="3"/>
  <c r="K151" i="3"/>
  <c r="J151" i="3"/>
  <c r="I151" i="3"/>
  <c r="H151" i="3"/>
  <c r="G151" i="3"/>
  <c r="F151" i="3"/>
  <c r="E151" i="3"/>
  <c r="D151" i="3"/>
  <c r="D149" i="3"/>
  <c r="D148" i="3"/>
  <c r="L135" i="3"/>
  <c r="K135" i="3"/>
  <c r="J135" i="3"/>
  <c r="I135" i="3"/>
  <c r="H135" i="3"/>
  <c r="G135" i="3"/>
  <c r="F135" i="3"/>
  <c r="E135" i="3"/>
  <c r="L129" i="3"/>
  <c r="L137" i="3" s="1"/>
  <c r="L167" i="3" s="1"/>
  <c r="K129" i="3"/>
  <c r="K137" i="3" s="1"/>
  <c r="K167" i="3" s="1"/>
  <c r="J129" i="3"/>
  <c r="J137" i="3" s="1"/>
  <c r="J167" i="3" s="1"/>
  <c r="I129" i="3"/>
  <c r="I137" i="3" s="1"/>
  <c r="I167" i="3" s="1"/>
  <c r="H129" i="3"/>
  <c r="H137" i="3" s="1"/>
  <c r="H167" i="3" s="1"/>
  <c r="G129" i="3"/>
  <c r="G137" i="3" s="1"/>
  <c r="G167" i="3" s="1"/>
  <c r="F129" i="3"/>
  <c r="F137" i="3" s="1"/>
  <c r="F167" i="3" s="1"/>
  <c r="E129" i="3"/>
  <c r="E137" i="3" s="1"/>
  <c r="E167" i="3" s="1"/>
  <c r="D114" i="3"/>
  <c r="D99" i="3"/>
  <c r="D97" i="3"/>
  <c r="D95" i="3"/>
  <c r="L85" i="3"/>
  <c r="K85" i="3"/>
  <c r="J85" i="3"/>
  <c r="I85" i="3"/>
  <c r="H85" i="3"/>
  <c r="G85" i="3"/>
  <c r="F85" i="3"/>
  <c r="E85" i="3"/>
  <c r="L82" i="3"/>
  <c r="K82" i="3"/>
  <c r="J82" i="3"/>
  <c r="I82" i="3"/>
  <c r="H82" i="3"/>
  <c r="G82" i="3"/>
  <c r="F82" i="3"/>
  <c r="E82" i="3"/>
  <c r="L78" i="3"/>
  <c r="K78" i="3"/>
  <c r="J78" i="3"/>
  <c r="I78" i="3"/>
  <c r="H78" i="3"/>
  <c r="G78" i="3"/>
  <c r="F78" i="3"/>
  <c r="E78" i="3"/>
  <c r="E86" i="3" s="1"/>
  <c r="L77" i="3"/>
  <c r="K77" i="3"/>
  <c r="J77" i="3"/>
  <c r="I77" i="3"/>
  <c r="H77" i="3"/>
  <c r="G77" i="3"/>
  <c r="F77" i="3"/>
  <c r="E77" i="3"/>
  <c r="E72" i="3"/>
  <c r="H71" i="3"/>
  <c r="L69" i="3"/>
  <c r="K69" i="3"/>
  <c r="J69" i="3"/>
  <c r="I69" i="3"/>
  <c r="H69" i="3"/>
  <c r="G69" i="3"/>
  <c r="F69" i="3"/>
  <c r="E69" i="3"/>
  <c r="D60" i="3"/>
  <c r="C57" i="3"/>
  <c r="D53" i="3"/>
  <c r="L37" i="3"/>
  <c r="K37" i="3"/>
  <c r="J37" i="3"/>
  <c r="I37" i="3"/>
  <c r="H37" i="3"/>
  <c r="G37" i="3"/>
  <c r="F37" i="3"/>
  <c r="E37" i="3"/>
  <c r="L31" i="3"/>
  <c r="L34" i="3" s="1"/>
  <c r="K31" i="3"/>
  <c r="K72" i="3" s="1"/>
  <c r="K86" i="3" s="1"/>
  <c r="J31" i="3"/>
  <c r="J72" i="3" s="1"/>
  <c r="J86" i="3" s="1"/>
  <c r="I31" i="3"/>
  <c r="I34" i="3" s="1"/>
  <c r="H31" i="3"/>
  <c r="H72" i="3" s="1"/>
  <c r="G31" i="3"/>
  <c r="F31" i="3"/>
  <c r="E31" i="3"/>
  <c r="E71" i="3" s="1"/>
  <c r="D13" i="6" l="1"/>
  <c r="E15" i="6"/>
  <c r="I40" i="3"/>
  <c r="I51" i="3" s="1"/>
  <c r="D14" i="6"/>
  <c r="K71" i="3"/>
  <c r="J9" i="6" a="1"/>
  <c r="J10" i="6" s="1"/>
  <c r="D9" i="6"/>
  <c r="D16" i="6"/>
  <c r="F14" i="6"/>
  <c r="D10" i="6"/>
  <c r="E10" i="6"/>
  <c r="H86" i="3"/>
  <c r="E11" i="6"/>
  <c r="I81" i="2"/>
  <c r="J81" i="2" s="1"/>
  <c r="I84" i="2"/>
  <c r="J84" i="2" s="1"/>
  <c r="K84" i="2" s="1"/>
  <c r="L84" i="2" s="1"/>
  <c r="M84" i="2" s="1"/>
  <c r="N84" i="2" s="1"/>
  <c r="O84" i="2" s="1"/>
  <c r="P84" i="2" s="1"/>
  <c r="D159" i="3"/>
  <c r="D61" i="3"/>
  <c r="D62" i="3" s="1"/>
  <c r="I35" i="2"/>
  <c r="J36" i="2"/>
  <c r="K36" i="2" s="1"/>
  <c r="K35" i="2" s="1"/>
  <c r="K39" i="2" s="1"/>
  <c r="K26" i="2" s="1"/>
  <c r="I163" i="3"/>
  <c r="I90" i="3"/>
  <c r="I97" i="3" s="1"/>
  <c r="I102" i="3"/>
  <c r="I46" i="3"/>
  <c r="I61" i="3"/>
  <c r="J16" i="6"/>
  <c r="J9" i="6"/>
  <c r="I55" i="3"/>
  <c r="U6" i="10"/>
  <c r="G7" i="10"/>
  <c r="L72" i="3"/>
  <c r="L86" i="3" s="1"/>
  <c r="L71" i="3"/>
  <c r="L61" i="3"/>
  <c r="D113" i="3"/>
  <c r="I82" i="2"/>
  <c r="J82" i="2" s="1"/>
  <c r="K82" i="2" s="1"/>
  <c r="L82" i="2" s="1"/>
  <c r="M82" i="2" s="1"/>
  <c r="N82" i="2" s="1"/>
  <c r="O82" i="2" s="1"/>
  <c r="P82" i="2" s="1"/>
  <c r="B22" i="5"/>
  <c r="D22" i="5" s="1"/>
  <c r="E22" i="5" s="1"/>
  <c r="B7" i="5"/>
  <c r="D51" i="5"/>
  <c r="F51" i="5" s="1"/>
  <c r="J5" i="9"/>
  <c r="L4" i="9"/>
  <c r="L5" i="9" s="1"/>
  <c r="B24" i="5"/>
  <c r="D24" i="5" s="1"/>
  <c r="E24" i="5" s="1"/>
  <c r="H11" i="5"/>
  <c r="J11" i="5" s="1"/>
  <c r="K11" i="5" s="1"/>
  <c r="D11" i="5"/>
  <c r="E11" i="5" s="1"/>
  <c r="G40" i="3"/>
  <c r="I56" i="3"/>
  <c r="I52" i="3"/>
  <c r="G52" i="3"/>
  <c r="G197" i="13"/>
  <c r="C189" i="13"/>
  <c r="G196" i="13" s="1"/>
  <c r="P190" i="11"/>
  <c r="P192" i="11" s="1"/>
  <c r="Q76" i="5"/>
  <c r="R76" i="5" s="1"/>
  <c r="Q74" i="5"/>
  <c r="R74" i="5" s="1"/>
  <c r="H76" i="5"/>
  <c r="G76" i="5"/>
  <c r="B81" i="5"/>
  <c r="F76" i="5"/>
  <c r="Q75" i="5"/>
  <c r="R75" i="5" s="1"/>
  <c r="L40" i="3"/>
  <c r="L53" i="3" s="1"/>
  <c r="L56" i="3"/>
  <c r="P35" i="2" a="1"/>
  <c r="P35" i="2" s="1"/>
  <c r="H39" i="2"/>
  <c r="I77" i="2"/>
  <c r="J76" i="2"/>
  <c r="Q54" i="5"/>
  <c r="R54" i="5" s="1"/>
  <c r="R57" i="5" s="1"/>
  <c r="S57" i="5" s="1"/>
  <c r="T57" i="5" s="1"/>
  <c r="H56" i="5"/>
  <c r="G56" i="5"/>
  <c r="F56" i="5"/>
  <c r="B61" i="5"/>
  <c r="Q55" i="5"/>
  <c r="R55" i="5" s="1"/>
  <c r="C13" i="6"/>
  <c r="C12" i="6"/>
  <c r="C11" i="6"/>
  <c r="C10" i="6"/>
  <c r="C16" i="6"/>
  <c r="C9" i="6"/>
  <c r="C15" i="6"/>
  <c r="G14" i="10"/>
  <c r="U13" i="10"/>
  <c r="I72" i="3"/>
  <c r="I86" i="3" s="1"/>
  <c r="I104" i="3" s="1"/>
  <c r="I71" i="3"/>
  <c r="D96" i="3"/>
  <c r="I53" i="3"/>
  <c r="H26" i="2"/>
  <c r="P26" i="2" s="1" a="1"/>
  <c r="P26" i="2" s="1"/>
  <c r="D47" i="3"/>
  <c r="I45" i="3"/>
  <c r="I54" i="3"/>
  <c r="L54" i="3"/>
  <c r="K81" i="2"/>
  <c r="J34" i="3"/>
  <c r="J40" i="3" s="1"/>
  <c r="F71" i="3"/>
  <c r="F72" i="3"/>
  <c r="F86" i="3" s="1"/>
  <c r="H36" i="5"/>
  <c r="E13" i="6"/>
  <c r="F12" i="6"/>
  <c r="T190" i="12"/>
  <c r="K34" i="3"/>
  <c r="K40" i="3" s="1"/>
  <c r="I60" i="3"/>
  <c r="G71" i="3"/>
  <c r="G72" i="3"/>
  <c r="G86" i="3" s="1"/>
  <c r="D116" i="3"/>
  <c r="I39" i="2"/>
  <c r="I62" i="2"/>
  <c r="J62" i="2" s="1"/>
  <c r="K62" i="2" s="1"/>
  <c r="L62" i="2" s="1"/>
  <c r="M62" i="2" s="1"/>
  <c r="N62" i="2" s="1"/>
  <c r="O62" i="2" s="1"/>
  <c r="P62" i="2" s="1"/>
  <c r="B41" i="5"/>
  <c r="E14" i="6"/>
  <c r="F13" i="6"/>
  <c r="D5" i="10"/>
  <c r="D14" i="10" s="1"/>
  <c r="U14" i="10" s="1"/>
  <c r="D7" i="10"/>
  <c r="U7" i="10" s="1"/>
  <c r="E34" i="3"/>
  <c r="E40" i="3" s="1"/>
  <c r="Q35" i="5"/>
  <c r="R35" i="5" s="1"/>
  <c r="R38" i="5" s="1"/>
  <c r="S38" i="5" s="1"/>
  <c r="T38" i="5" s="1"/>
  <c r="E9" i="6"/>
  <c r="F15" i="6"/>
  <c r="I7" i="10"/>
  <c r="H14" i="10"/>
  <c r="O190" i="12"/>
  <c r="F34" i="3"/>
  <c r="F40" i="3" s="1"/>
  <c r="J71" i="3"/>
  <c r="J35" i="2"/>
  <c r="J39" i="2" s="1"/>
  <c r="J26" i="2" s="1"/>
  <c r="Q37" i="5"/>
  <c r="R37" i="5" s="1"/>
  <c r="F9" i="6"/>
  <c r="F16" i="6"/>
  <c r="G13" i="7"/>
  <c r="H13" i="7" s="1"/>
  <c r="M7" i="10"/>
  <c r="G34" i="3"/>
  <c r="L51" i="3"/>
  <c r="G7" i="7"/>
  <c r="H7" i="7" s="1"/>
  <c r="T7" i="10"/>
  <c r="H34" i="3"/>
  <c r="H40" i="3" s="1"/>
  <c r="M4" i="9"/>
  <c r="M5" i="9" s="1"/>
  <c r="M6" i="9" s="1"/>
  <c r="M8" i="9" s="1"/>
  <c r="K4" i="9"/>
  <c r="K5" i="9" s="1"/>
  <c r="M190" i="12"/>
  <c r="N5" i="8"/>
  <c r="R190" i="12"/>
  <c r="E45" i="3" l="1"/>
  <c r="E51" i="3"/>
  <c r="E52" i="3"/>
  <c r="E54" i="3"/>
  <c r="E53" i="3"/>
  <c r="H53" i="3"/>
  <c r="H51" i="3"/>
  <c r="J13" i="6"/>
  <c r="D98" i="3"/>
  <c r="I98" i="3" s="1"/>
  <c r="J11" i="6"/>
  <c r="J12" i="6"/>
  <c r="I99" i="3"/>
  <c r="J14" i="6"/>
  <c r="L45" i="3"/>
  <c r="J15" i="6"/>
  <c r="F61" i="3"/>
  <c r="L36" i="2"/>
  <c r="J86" i="2" a="1"/>
  <c r="J89" i="2" s="1"/>
  <c r="I86" i="2" a="1"/>
  <c r="I90" i="2" s="1"/>
  <c r="K163" i="3"/>
  <c r="K90" i="3"/>
  <c r="K104" i="3"/>
  <c r="K102" i="3"/>
  <c r="K54" i="3"/>
  <c r="K45" i="3"/>
  <c r="K46" i="3"/>
  <c r="K53" i="3"/>
  <c r="K56" i="3"/>
  <c r="K55" i="3"/>
  <c r="K60" i="3"/>
  <c r="K52" i="3"/>
  <c r="K51" i="3"/>
  <c r="K61" i="3"/>
  <c r="J163" i="3"/>
  <c r="J90" i="3"/>
  <c r="J46" i="3"/>
  <c r="J102" i="3"/>
  <c r="J104" i="3"/>
  <c r="J55" i="3"/>
  <c r="J60" i="3"/>
  <c r="J53" i="3"/>
  <c r="J51" i="3"/>
  <c r="J54" i="3"/>
  <c r="J56" i="3"/>
  <c r="J52" i="3"/>
  <c r="J45" i="3"/>
  <c r="J61" i="3"/>
  <c r="F54" i="3"/>
  <c r="J87" i="2"/>
  <c r="J90" i="2"/>
  <c r="J86" i="2"/>
  <c r="R77" i="5"/>
  <c r="S77" i="5" s="1"/>
  <c r="T77" i="5" s="1"/>
  <c r="H56" i="3"/>
  <c r="G46" i="3"/>
  <c r="G163" i="3"/>
  <c r="G90" i="3"/>
  <c r="G102" i="3"/>
  <c r="G104" i="3"/>
  <c r="G60" i="3"/>
  <c r="G56" i="3"/>
  <c r="H61" i="3"/>
  <c r="G55" i="3"/>
  <c r="L81" i="2"/>
  <c r="K86" i="2" a="1"/>
  <c r="L163" i="3"/>
  <c r="L90" i="3"/>
  <c r="L104" i="3"/>
  <c r="L102" i="3"/>
  <c r="L46" i="3"/>
  <c r="E104" i="3"/>
  <c r="E102" i="3"/>
  <c r="E60" i="3"/>
  <c r="E46" i="3"/>
  <c r="E163" i="3"/>
  <c r="E55" i="3"/>
  <c r="E90" i="3"/>
  <c r="I111" i="3"/>
  <c r="F104" i="3"/>
  <c r="F102" i="3"/>
  <c r="F60" i="3"/>
  <c r="F46" i="3"/>
  <c r="F163" i="3"/>
  <c r="F90" i="3"/>
  <c r="F51" i="3"/>
  <c r="F53" i="3"/>
  <c r="J77" i="2"/>
  <c r="K77" i="2" s="1"/>
  <c r="L77" i="2" s="1"/>
  <c r="M77" i="2" s="1"/>
  <c r="N77" i="2" s="1"/>
  <c r="O77" i="2" s="1"/>
  <c r="K76" i="2"/>
  <c r="L76" i="2" s="1"/>
  <c r="M76" i="2" s="1"/>
  <c r="N76" i="2" s="1"/>
  <c r="O76" i="2" s="1"/>
  <c r="B6" i="5"/>
  <c r="D41" i="5"/>
  <c r="F41" i="5" s="1"/>
  <c r="H60" i="3"/>
  <c r="L52" i="3"/>
  <c r="E61" i="3"/>
  <c r="F55" i="3"/>
  <c r="G54" i="3"/>
  <c r="F47" i="3"/>
  <c r="E47" i="3"/>
  <c r="E48" i="3" s="1"/>
  <c r="L47" i="3"/>
  <c r="K47" i="3"/>
  <c r="I47" i="3"/>
  <c r="I48" i="3" s="1"/>
  <c r="H47" i="3"/>
  <c r="J47" i="3"/>
  <c r="G47" i="3"/>
  <c r="H65" i="2"/>
  <c r="P39" i="2" a="1"/>
  <c r="P39" i="2" s="1"/>
  <c r="H86" i="2" a="1"/>
  <c r="D7" i="5"/>
  <c r="E7" i="5" s="1"/>
  <c r="H7" i="5"/>
  <c r="I26" i="2"/>
  <c r="I62" i="3"/>
  <c r="I88" i="3" s="1"/>
  <c r="H55" i="3"/>
  <c r="H104" i="3"/>
  <c r="H102" i="3"/>
  <c r="H163" i="3"/>
  <c r="H46" i="3"/>
  <c r="H90" i="3"/>
  <c r="D81" i="5"/>
  <c r="F81" i="5" s="1"/>
  <c r="B10" i="5"/>
  <c r="E56" i="3"/>
  <c r="L35" i="2"/>
  <c r="L39" i="2" s="1"/>
  <c r="L26" i="2" s="1"/>
  <c r="M36" i="2"/>
  <c r="D117" i="3"/>
  <c r="H52" i="3"/>
  <c r="I87" i="2"/>
  <c r="I86" i="2"/>
  <c r="I89" i="2"/>
  <c r="I88" i="2"/>
  <c r="G51" i="3"/>
  <c r="H54" i="3"/>
  <c r="F45" i="3"/>
  <c r="D100" i="3"/>
  <c r="D61" i="5"/>
  <c r="F61" i="5" s="1"/>
  <c r="B8" i="5"/>
  <c r="L55" i="3"/>
  <c r="G45" i="3"/>
  <c r="G48" i="3" s="1"/>
  <c r="L60" i="3"/>
  <c r="C17" i="6"/>
  <c r="F52" i="3"/>
  <c r="G53" i="3"/>
  <c r="F56" i="3"/>
  <c r="G61" i="3"/>
  <c r="H45" i="3"/>
  <c r="L48" i="3" l="1"/>
  <c r="J88" i="2"/>
  <c r="E62" i="3"/>
  <c r="G62" i="3"/>
  <c r="G88" i="3" s="1"/>
  <c r="L62" i="3"/>
  <c r="L88" i="3" s="1"/>
  <c r="E88" i="3"/>
  <c r="P65" i="2" a="1"/>
  <c r="P65" i="2" s="1"/>
  <c r="I65" i="2"/>
  <c r="J65" i="2" s="1"/>
  <c r="K65" i="2" s="1"/>
  <c r="L65" i="2" s="1"/>
  <c r="M65" i="2" s="1"/>
  <c r="N65" i="2" s="1"/>
  <c r="O65" i="2" s="1"/>
  <c r="G92" i="3"/>
  <c r="G96" i="3" s="1"/>
  <c r="G91" i="3"/>
  <c r="G103" i="3"/>
  <c r="H111" i="3"/>
  <c r="B19" i="5"/>
  <c r="D19" i="5" s="1"/>
  <c r="E19" i="5" s="1"/>
  <c r="H6" i="5"/>
  <c r="J6" i="5" s="1"/>
  <c r="K6" i="5" s="1"/>
  <c r="D6" i="5"/>
  <c r="E6" i="5" s="1"/>
  <c r="G99" i="3"/>
  <c r="G97" i="3"/>
  <c r="G95" i="3"/>
  <c r="G98" i="3"/>
  <c r="H48" i="3"/>
  <c r="F111" i="3"/>
  <c r="J7" i="5"/>
  <c r="K7" i="5" s="1"/>
  <c r="B20" i="5"/>
  <c r="D20" i="5" s="1"/>
  <c r="E20" i="5" s="1"/>
  <c r="I92" i="3"/>
  <c r="I96" i="3" s="1"/>
  <c r="I91" i="3"/>
  <c r="I95" i="3" s="1"/>
  <c r="I103" i="3"/>
  <c r="F62" i="3"/>
  <c r="M81" i="2"/>
  <c r="L86" i="2" a="1"/>
  <c r="G164" i="3"/>
  <c r="I164" i="3"/>
  <c r="F48" i="3"/>
  <c r="H62" i="3"/>
  <c r="N36" i="2"/>
  <c r="M35" i="2"/>
  <c r="M39" i="2" s="1"/>
  <c r="M26" i="2" s="1"/>
  <c r="B21" i="5"/>
  <c r="D21" i="5" s="1"/>
  <c r="E21" i="5" s="1"/>
  <c r="D8" i="5"/>
  <c r="E8" i="5" s="1"/>
  <c r="L92" i="3"/>
  <c r="L96" i="3" s="1"/>
  <c r="L91" i="3"/>
  <c r="L95" i="3" s="1"/>
  <c r="E92" i="3"/>
  <c r="E96" i="3" s="1"/>
  <c r="E91" i="3"/>
  <c r="E103" i="3"/>
  <c r="L103" i="3"/>
  <c r="F99" i="3"/>
  <c r="F98" i="3"/>
  <c r="F97" i="3"/>
  <c r="J62" i="3"/>
  <c r="L111" i="3"/>
  <c r="K90" i="2"/>
  <c r="K89" i="2"/>
  <c r="K88" i="2"/>
  <c r="K86" i="2"/>
  <c r="K87" i="2"/>
  <c r="K111" i="3"/>
  <c r="D10" i="5"/>
  <c r="E10" i="5" s="1"/>
  <c r="H10" i="5"/>
  <c r="J10" i="5" s="1"/>
  <c r="K10" i="5" s="1"/>
  <c r="L99" i="3"/>
  <c r="L97" i="3"/>
  <c r="L98" i="3"/>
  <c r="G111" i="3"/>
  <c r="E111" i="3"/>
  <c r="J48" i="3"/>
  <c r="K99" i="3"/>
  <c r="K98" i="3"/>
  <c r="K97" i="3"/>
  <c r="H97" i="3"/>
  <c r="H99" i="3"/>
  <c r="H98" i="3"/>
  <c r="H86" i="2"/>
  <c r="H90" i="2"/>
  <c r="H88" i="2"/>
  <c r="H87" i="2"/>
  <c r="H89" i="2"/>
  <c r="E99" i="3"/>
  <c r="E97" i="3"/>
  <c r="E98" i="3"/>
  <c r="E95" i="3"/>
  <c r="K48" i="3"/>
  <c r="J111" i="3"/>
  <c r="J97" i="3"/>
  <c r="J98" i="3"/>
  <c r="J99" i="3"/>
  <c r="K62" i="3"/>
  <c r="K88" i="3" l="1"/>
  <c r="H88" i="3"/>
  <c r="I100" i="3"/>
  <c r="L100" i="3"/>
  <c r="L165" i="3" s="1"/>
  <c r="L105" i="3"/>
  <c r="L106" i="3" s="1"/>
  <c r="I165" i="3"/>
  <c r="I105" i="3"/>
  <c r="I106" i="3" s="1"/>
  <c r="K92" i="3"/>
  <c r="K96" i="3" s="1"/>
  <c r="K91" i="3"/>
  <c r="K95" i="3" s="1"/>
  <c r="K103" i="3"/>
  <c r="H91" i="3"/>
  <c r="H95" i="3" s="1"/>
  <c r="H92" i="3"/>
  <c r="H96" i="3" s="1"/>
  <c r="H103" i="3"/>
  <c r="D12" i="5"/>
  <c r="D13" i="5" s="1"/>
  <c r="D14" i="5" s="1"/>
  <c r="E100" i="3"/>
  <c r="N35" i="2"/>
  <c r="N39" i="2" s="1"/>
  <c r="N26" i="2" s="1"/>
  <c r="O36" i="2"/>
  <c r="J12" i="5"/>
  <c r="J13" i="5" s="1"/>
  <c r="J14" i="5" s="1"/>
  <c r="H164" i="3"/>
  <c r="K164" i="3"/>
  <c r="J88" i="3"/>
  <c r="F92" i="3"/>
  <c r="F96" i="3" s="1"/>
  <c r="F91" i="3"/>
  <c r="F95" i="3" s="1"/>
  <c r="F103" i="3"/>
  <c r="J92" i="3"/>
  <c r="J96" i="3" s="1"/>
  <c r="J91" i="3"/>
  <c r="J95" i="3" s="1"/>
  <c r="J103" i="3"/>
  <c r="D25" i="5"/>
  <c r="D26" i="5" s="1"/>
  <c r="D27" i="5" s="1"/>
  <c r="L86" i="2"/>
  <c r="L90" i="2"/>
  <c r="L88" i="2"/>
  <c r="L87" i="2"/>
  <c r="L89" i="2"/>
  <c r="F88" i="3"/>
  <c r="G100" i="3"/>
  <c r="L164" i="3"/>
  <c r="B23" i="5"/>
  <c r="D23" i="5" s="1"/>
  <c r="E23" i="5" s="1"/>
  <c r="M86" i="2" a="1"/>
  <c r="N81" i="2"/>
  <c r="E164" i="3"/>
  <c r="H100" i="3" l="1"/>
  <c r="H165" i="3" s="1"/>
  <c r="J100" i="3"/>
  <c r="E105" i="3"/>
  <c r="E106" i="3" s="1"/>
  <c r="E165" i="3"/>
  <c r="G165" i="3"/>
  <c r="G105" i="3"/>
  <c r="G106" i="3" s="1"/>
  <c r="M87" i="2"/>
  <c r="M86" i="2"/>
  <c r="M90" i="2"/>
  <c r="M89" i="2"/>
  <c r="M88" i="2"/>
  <c r="I115" i="3"/>
  <c r="I112" i="3"/>
  <c r="I114" i="3"/>
  <c r="I113" i="3"/>
  <c r="I116" i="3"/>
  <c r="I117" i="3"/>
  <c r="F164" i="3"/>
  <c r="J165" i="3"/>
  <c r="J105" i="3"/>
  <c r="J106" i="3" s="1"/>
  <c r="N86" i="2" a="1"/>
  <c r="O81" i="2"/>
  <c r="F100" i="3"/>
  <c r="H105" i="3"/>
  <c r="H106" i="3" s="1"/>
  <c r="L112" i="3"/>
  <c r="L115" i="3"/>
  <c r="L114" i="3"/>
  <c r="L116" i="3"/>
  <c r="L113" i="3"/>
  <c r="L117" i="3"/>
  <c r="O35" i="2"/>
  <c r="O39" i="2" s="1"/>
  <c r="O26" i="2" s="1"/>
  <c r="J164" i="3"/>
  <c r="G9" i="6" s="1" a="1"/>
  <c r="K100" i="3"/>
  <c r="I118" i="3" l="1"/>
  <c r="L118" i="3"/>
  <c r="L166" i="3" s="1"/>
  <c r="L168" i="3" s="1"/>
  <c r="G16" i="6"/>
  <c r="G9" i="6"/>
  <c r="G15" i="6"/>
  <c r="G14" i="6"/>
  <c r="G12" i="6"/>
  <c r="G11" i="6"/>
  <c r="G10" i="6"/>
  <c r="G13" i="6"/>
  <c r="J115" i="3"/>
  <c r="J114" i="3"/>
  <c r="J112" i="3"/>
  <c r="J116" i="3"/>
  <c r="J113" i="3"/>
  <c r="J117" i="3"/>
  <c r="H115" i="3"/>
  <c r="H114" i="3"/>
  <c r="H112" i="3"/>
  <c r="H113" i="3"/>
  <c r="H116" i="3"/>
  <c r="H117" i="3"/>
  <c r="I166" i="3"/>
  <c r="I168" i="3" s="1"/>
  <c r="I121" i="3"/>
  <c r="F105" i="3"/>
  <c r="F106" i="3" s="1"/>
  <c r="F165" i="3"/>
  <c r="G114" i="3"/>
  <c r="G115" i="3"/>
  <c r="G112" i="3"/>
  <c r="G113" i="3"/>
  <c r="G116" i="3"/>
  <c r="G117" i="3"/>
  <c r="L121" i="3"/>
  <c r="K165" i="3"/>
  <c r="K105" i="3"/>
  <c r="K106" i="3" s="1"/>
  <c r="O86" i="2" a="1"/>
  <c r="P81" i="2"/>
  <c r="P86" i="2" s="1" a="1"/>
  <c r="H9" i="6" a="1"/>
  <c r="N89" i="2"/>
  <c r="N88" i="2"/>
  <c r="N87" i="2"/>
  <c r="N90" i="2"/>
  <c r="N86" i="2"/>
  <c r="E115" i="3"/>
  <c r="E112" i="3"/>
  <c r="E114" i="3"/>
  <c r="E113" i="3"/>
  <c r="E116" i="3"/>
  <c r="E117" i="3"/>
  <c r="I46" i="12" l="1"/>
  <c r="I105" i="12"/>
  <c r="I74" i="12"/>
  <c r="I119" i="12"/>
  <c r="I32" i="12"/>
  <c r="I122" i="12"/>
  <c r="I130" i="12"/>
  <c r="I101" i="12"/>
  <c r="I24" i="12"/>
  <c r="I108" i="12"/>
  <c r="I160" i="12"/>
  <c r="I31" i="12"/>
  <c r="I99" i="12"/>
  <c r="I169" i="12"/>
  <c r="I139" i="12"/>
  <c r="I11" i="12"/>
  <c r="I177" i="12"/>
  <c r="I137" i="12"/>
  <c r="I9" i="12"/>
  <c r="I84" i="12"/>
  <c r="I175" i="12"/>
  <c r="I158" i="12"/>
  <c r="I183" i="12"/>
  <c r="I10" i="12"/>
  <c r="I126" i="12"/>
  <c r="I124" i="12"/>
  <c r="I64" i="12"/>
  <c r="I20" i="12"/>
  <c r="I69" i="12"/>
  <c r="I53" i="12"/>
  <c r="I185" i="12"/>
  <c r="I43" i="12"/>
  <c r="I75" i="12"/>
  <c r="I178" i="12"/>
  <c r="I117" i="12"/>
  <c r="I83" i="12"/>
  <c r="I186" i="12"/>
  <c r="I136" i="12"/>
  <c r="I81" i="12"/>
  <c r="I149" i="12"/>
  <c r="I65" i="12"/>
  <c r="I131" i="12"/>
  <c r="I98" i="12"/>
  <c r="I159" i="12"/>
  <c r="I52" i="12"/>
  <c r="I157" i="12"/>
  <c r="I156" i="12"/>
  <c r="I16" i="12"/>
  <c r="I71" i="12"/>
  <c r="I148" i="12"/>
  <c r="I14" i="12"/>
  <c r="I172" i="12"/>
  <c r="I39" i="12"/>
  <c r="I118" i="12"/>
  <c r="I140" i="12"/>
  <c r="I21" i="12"/>
  <c r="I18" i="12"/>
  <c r="I73" i="12"/>
  <c r="I154" i="12"/>
  <c r="I120" i="12"/>
  <c r="I41" i="12"/>
  <c r="I96" i="12"/>
  <c r="I150" i="12"/>
  <c r="I109" i="12"/>
  <c r="I44" i="12"/>
  <c r="I129" i="12"/>
  <c r="I38" i="12"/>
  <c r="I47" i="12"/>
  <c r="I164" i="12"/>
  <c r="I94" i="12"/>
  <c r="I142" i="3"/>
  <c r="I92" i="12"/>
  <c r="I138" i="12"/>
  <c r="I13" i="12"/>
  <c r="I168" i="12"/>
  <c r="I19" i="12"/>
  <c r="I100" i="12"/>
  <c r="I146" i="12"/>
  <c r="I67" i="12"/>
  <c r="I170" i="12"/>
  <c r="I93" i="12"/>
  <c r="I37" i="12"/>
  <c r="I107" i="12"/>
  <c r="I95" i="12"/>
  <c r="I173" i="12"/>
  <c r="I162" i="12"/>
  <c r="I68" i="12"/>
  <c r="I111" i="12"/>
  <c r="I181" i="12"/>
  <c r="I134" i="12"/>
  <c r="I167" i="12"/>
  <c r="I152" i="12"/>
  <c r="I60" i="12"/>
  <c r="I166" i="12"/>
  <c r="I70" i="12"/>
  <c r="I147" i="12"/>
  <c r="I90" i="12"/>
  <c r="I25" i="12"/>
  <c r="I80" i="12"/>
  <c r="I127" i="12"/>
  <c r="I114" i="12"/>
  <c r="I34" i="12"/>
  <c r="I89" i="12"/>
  <c r="I86" i="12"/>
  <c r="I61" i="12"/>
  <c r="I8" i="12"/>
  <c r="I51" i="12"/>
  <c r="I123" i="12"/>
  <c r="I48" i="12"/>
  <c r="I59" i="12"/>
  <c r="I26" i="12"/>
  <c r="I76" i="12"/>
  <c r="I125" i="12"/>
  <c r="I189" i="12"/>
  <c r="I54" i="12"/>
  <c r="I145" i="12"/>
  <c r="I56" i="12"/>
  <c r="I132" i="12"/>
  <c r="I174" i="12"/>
  <c r="I78" i="12"/>
  <c r="I155" i="12"/>
  <c r="I45" i="12"/>
  <c r="I63" i="12"/>
  <c r="I87" i="12"/>
  <c r="I165" i="12"/>
  <c r="I79" i="12"/>
  <c r="I133" i="12"/>
  <c r="I49" i="12"/>
  <c r="I112" i="12"/>
  <c r="I141" i="12"/>
  <c r="I57" i="12"/>
  <c r="I103" i="12"/>
  <c r="I35" i="12"/>
  <c r="I182" i="12"/>
  <c r="I151" i="12"/>
  <c r="I187" i="12"/>
  <c r="I72" i="12"/>
  <c r="I163" i="12"/>
  <c r="I180" i="12"/>
  <c r="I50" i="12"/>
  <c r="I33" i="12"/>
  <c r="I23" i="12"/>
  <c r="I82" i="12"/>
  <c r="I88" i="12"/>
  <c r="I106" i="12"/>
  <c r="I6" i="12"/>
  <c r="I12" i="12"/>
  <c r="I29" i="12"/>
  <c r="I184" i="12"/>
  <c r="I36" i="12"/>
  <c r="I97" i="12"/>
  <c r="I179" i="12"/>
  <c r="I77" i="12"/>
  <c r="I161" i="12"/>
  <c r="I30" i="12"/>
  <c r="I91" i="12"/>
  <c r="I62" i="12"/>
  <c r="I22" i="12"/>
  <c r="I188" i="12"/>
  <c r="I153" i="12"/>
  <c r="I135" i="12"/>
  <c r="I176" i="12"/>
  <c r="I116" i="12"/>
  <c r="I7" i="12"/>
  <c r="I55" i="12"/>
  <c r="I113" i="12"/>
  <c r="I58" i="12"/>
  <c r="I28" i="12"/>
  <c r="I115" i="12"/>
  <c r="I27" i="12"/>
  <c r="I142" i="12"/>
  <c r="I110" i="12"/>
  <c r="I15" i="12"/>
  <c r="I144" i="12"/>
  <c r="I143" i="12"/>
  <c r="I66" i="12"/>
  <c r="I104" i="12"/>
  <c r="I85" i="12"/>
  <c r="I17" i="12"/>
  <c r="I102" i="12"/>
  <c r="I128" i="12"/>
  <c r="I42" i="12"/>
  <c r="I40" i="12"/>
  <c r="I171" i="12"/>
  <c r="I121" i="12"/>
  <c r="K115" i="3"/>
  <c r="K114" i="3"/>
  <c r="K112" i="3"/>
  <c r="K113" i="3"/>
  <c r="K116" i="3"/>
  <c r="K117" i="3"/>
  <c r="G118" i="3"/>
  <c r="H16" i="6"/>
  <c r="H9" i="6"/>
  <c r="H15" i="6"/>
  <c r="H14" i="6"/>
  <c r="H13" i="6"/>
  <c r="H11" i="6"/>
  <c r="H10" i="6"/>
  <c r="H12" i="6"/>
  <c r="J118" i="3"/>
  <c r="P86" i="2"/>
  <c r="P90" i="2"/>
  <c r="P88" i="2"/>
  <c r="P87" i="2"/>
  <c r="P89" i="2"/>
  <c r="O90" i="2"/>
  <c r="O89" i="2"/>
  <c r="O88" i="2"/>
  <c r="O86" i="2"/>
  <c r="O87" i="2"/>
  <c r="L187" i="12"/>
  <c r="L10" i="12"/>
  <c r="L157" i="12"/>
  <c r="L54" i="12"/>
  <c r="L69" i="12"/>
  <c r="L83" i="12"/>
  <c r="L129" i="12"/>
  <c r="L103" i="12"/>
  <c r="L159" i="12"/>
  <c r="L51" i="12"/>
  <c r="L104" i="12"/>
  <c r="L188" i="12"/>
  <c r="L181" i="12"/>
  <c r="L67" i="12"/>
  <c r="L95" i="12"/>
  <c r="L80" i="12"/>
  <c r="L134" i="12"/>
  <c r="L44" i="12"/>
  <c r="L60" i="12"/>
  <c r="L165" i="12"/>
  <c r="L182" i="12"/>
  <c r="L11" i="12"/>
  <c r="L145" i="12"/>
  <c r="L92" i="12"/>
  <c r="L155" i="12"/>
  <c r="L14" i="12"/>
  <c r="L47" i="12"/>
  <c r="L160" i="12"/>
  <c r="L18" i="12"/>
  <c r="L106" i="12"/>
  <c r="L122" i="12"/>
  <c r="L72" i="12"/>
  <c r="L148" i="12"/>
  <c r="L189" i="12"/>
  <c r="L120" i="12"/>
  <c r="L127" i="12"/>
  <c r="L61" i="12"/>
  <c r="L32" i="12"/>
  <c r="L132" i="12"/>
  <c r="L102" i="12"/>
  <c r="L97" i="12"/>
  <c r="L100" i="12"/>
  <c r="L123" i="12"/>
  <c r="L89" i="12"/>
  <c r="L6" i="12"/>
  <c r="L21" i="12"/>
  <c r="L175" i="12"/>
  <c r="L8" i="12"/>
  <c r="L73" i="12"/>
  <c r="L16" i="12"/>
  <c r="L101" i="12"/>
  <c r="L27" i="12"/>
  <c r="L169" i="12"/>
  <c r="L20" i="12"/>
  <c r="L162" i="12"/>
  <c r="L65" i="12"/>
  <c r="L66" i="12"/>
  <c r="L94" i="12"/>
  <c r="L28" i="12"/>
  <c r="L107" i="12"/>
  <c r="L140" i="12"/>
  <c r="L174" i="12"/>
  <c r="L57" i="12"/>
  <c r="L62" i="12"/>
  <c r="L48" i="12"/>
  <c r="L81" i="12"/>
  <c r="L63" i="12"/>
  <c r="L9" i="12"/>
  <c r="L34" i="12"/>
  <c r="L124" i="12"/>
  <c r="L186" i="12"/>
  <c r="L45" i="12"/>
  <c r="L31" i="12"/>
  <c r="L179" i="12"/>
  <c r="L166" i="12"/>
  <c r="L74" i="12"/>
  <c r="L178" i="12"/>
  <c r="L87" i="12"/>
  <c r="L163" i="12"/>
  <c r="L53" i="12"/>
  <c r="L24" i="12"/>
  <c r="L64" i="12"/>
  <c r="L111" i="12"/>
  <c r="L113" i="12"/>
  <c r="L86" i="12"/>
  <c r="L42" i="12"/>
  <c r="L133" i="12"/>
  <c r="L184" i="12"/>
  <c r="L136" i="12"/>
  <c r="L161" i="12"/>
  <c r="L153" i="12"/>
  <c r="L37" i="12"/>
  <c r="L58" i="12"/>
  <c r="L12" i="12"/>
  <c r="L150" i="12"/>
  <c r="L49" i="12"/>
  <c r="L126" i="12"/>
  <c r="L40" i="12"/>
  <c r="L71" i="12"/>
  <c r="L77" i="12"/>
  <c r="L91" i="12"/>
  <c r="L137" i="12"/>
  <c r="L88" i="12"/>
  <c r="L99" i="12"/>
  <c r="L158" i="12"/>
  <c r="L43" i="12"/>
  <c r="L128" i="12"/>
  <c r="L78" i="12"/>
  <c r="L76" i="12"/>
  <c r="L139" i="12"/>
  <c r="L172" i="12"/>
  <c r="L46" i="12"/>
  <c r="L96" i="12"/>
  <c r="L79" i="12"/>
  <c r="L119" i="12"/>
  <c r="L7" i="12"/>
  <c r="L25" i="12"/>
  <c r="L110" i="12"/>
  <c r="L142" i="12"/>
  <c r="L17" i="12"/>
  <c r="L84" i="12"/>
  <c r="L147" i="12"/>
  <c r="L23" i="12"/>
  <c r="L90" i="12"/>
  <c r="L26" i="12"/>
  <c r="L112" i="12"/>
  <c r="L93" i="12"/>
  <c r="L29" i="12"/>
  <c r="L68" i="12"/>
  <c r="L131" i="12"/>
  <c r="L171" i="12"/>
  <c r="L130" i="12"/>
  <c r="L55" i="12"/>
  <c r="L50" i="12"/>
  <c r="L13" i="12"/>
  <c r="L36" i="12"/>
  <c r="L19" i="12"/>
  <c r="L85" i="12"/>
  <c r="L176" i="12"/>
  <c r="L183" i="12"/>
  <c r="L141" i="12"/>
  <c r="L156" i="12"/>
  <c r="L30" i="12"/>
  <c r="L75" i="12"/>
  <c r="L167" i="12"/>
  <c r="L149" i="12"/>
  <c r="L154" i="12"/>
  <c r="L135" i="12"/>
  <c r="L180" i="12"/>
  <c r="L22" i="12"/>
  <c r="L115" i="12"/>
  <c r="L35" i="12"/>
  <c r="L33" i="12"/>
  <c r="L125" i="12"/>
  <c r="L116" i="12"/>
  <c r="L168" i="12"/>
  <c r="L177" i="12"/>
  <c r="L15" i="12"/>
  <c r="L114" i="12"/>
  <c r="L121" i="12"/>
  <c r="L59" i="12"/>
  <c r="L118" i="12"/>
  <c r="L143" i="12"/>
  <c r="L52" i="12"/>
  <c r="L173" i="12"/>
  <c r="L152" i="12"/>
  <c r="L164" i="12"/>
  <c r="L98" i="12"/>
  <c r="L144" i="12"/>
  <c r="L41" i="12"/>
  <c r="L82" i="12"/>
  <c r="L109" i="12"/>
  <c r="L38" i="12"/>
  <c r="L146" i="12"/>
  <c r="L170" i="12"/>
  <c r="L151" i="12"/>
  <c r="L39" i="12"/>
  <c r="L138" i="12"/>
  <c r="L105" i="12"/>
  <c r="L108" i="12"/>
  <c r="L70" i="12"/>
  <c r="L56" i="12"/>
  <c r="L117" i="12"/>
  <c r="L142" i="3"/>
  <c r="L185" i="12"/>
  <c r="H118" i="3"/>
  <c r="E118" i="3"/>
  <c r="F112" i="3"/>
  <c r="F115" i="3"/>
  <c r="F114" i="3"/>
  <c r="F116" i="3"/>
  <c r="F113" i="3"/>
  <c r="F117" i="3"/>
  <c r="L143" i="3" l="1"/>
  <c r="L144" i="3" s="1"/>
  <c r="L147" i="3" s="1"/>
  <c r="I143" i="3"/>
  <c r="I144" i="3" s="1"/>
  <c r="I147" i="3" s="1"/>
  <c r="K118" i="3"/>
  <c r="F118" i="3"/>
  <c r="J166" i="3"/>
  <c r="J168" i="3" s="1"/>
  <c r="J121" i="3"/>
  <c r="E121" i="3"/>
  <c r="E166" i="3"/>
  <c r="G121" i="3"/>
  <c r="G166" i="3"/>
  <c r="G168" i="3" s="1"/>
  <c r="H121" i="3"/>
  <c r="H166" i="3"/>
  <c r="H168" i="3" s="1"/>
  <c r="I149" i="3" l="1"/>
  <c r="I148" i="3"/>
  <c r="I152" i="3"/>
  <c r="L152" i="3"/>
  <c r="L149" i="3"/>
  <c r="L148" i="3"/>
  <c r="J122" i="12"/>
  <c r="J13" i="12"/>
  <c r="J143" i="12"/>
  <c r="J64" i="12"/>
  <c r="J80" i="12"/>
  <c r="J142" i="12"/>
  <c r="J63" i="12"/>
  <c r="J72" i="12"/>
  <c r="J141" i="12"/>
  <c r="J62" i="12"/>
  <c r="J90" i="12"/>
  <c r="J147" i="12"/>
  <c r="J86" i="12"/>
  <c r="J87" i="12"/>
  <c r="J146" i="12"/>
  <c r="J78" i="12"/>
  <c r="J79" i="12"/>
  <c r="J171" i="12"/>
  <c r="J99" i="12"/>
  <c r="J105" i="12"/>
  <c r="J69" i="12"/>
  <c r="J76" i="12"/>
  <c r="J189" i="12"/>
  <c r="J51" i="12"/>
  <c r="J174" i="12"/>
  <c r="J111" i="12"/>
  <c r="J21" i="12"/>
  <c r="J133" i="12"/>
  <c r="J10" i="12"/>
  <c r="J104" i="12"/>
  <c r="J129" i="12"/>
  <c r="J49" i="12"/>
  <c r="J177" i="12"/>
  <c r="J117" i="12"/>
  <c r="J32" i="12"/>
  <c r="J176" i="12"/>
  <c r="J116" i="12"/>
  <c r="J31" i="12"/>
  <c r="J175" i="12"/>
  <c r="J115" i="12"/>
  <c r="J30" i="12"/>
  <c r="J181" i="12"/>
  <c r="J121" i="12"/>
  <c r="J36" i="12"/>
  <c r="J180" i="12"/>
  <c r="J120" i="12"/>
  <c r="J35" i="12"/>
  <c r="J114" i="12"/>
  <c r="J26" i="12"/>
  <c r="J183" i="12"/>
  <c r="J50" i="12"/>
  <c r="J71" i="12"/>
  <c r="J145" i="12"/>
  <c r="J126" i="12"/>
  <c r="J41" i="12"/>
  <c r="J169" i="12"/>
  <c r="J109" i="12"/>
  <c r="J24" i="12"/>
  <c r="J168" i="12"/>
  <c r="J103" i="12"/>
  <c r="J23" i="12"/>
  <c r="J167" i="12"/>
  <c r="J100" i="12"/>
  <c r="J22" i="12"/>
  <c r="J173" i="12"/>
  <c r="J113" i="12"/>
  <c r="J28" i="12"/>
  <c r="J172" i="12"/>
  <c r="J112" i="12"/>
  <c r="J27" i="12"/>
  <c r="J61" i="12"/>
  <c r="J83" i="12"/>
  <c r="J158" i="12"/>
  <c r="J18" i="12"/>
  <c r="J184" i="12"/>
  <c r="J119" i="12"/>
  <c r="J118" i="12"/>
  <c r="J125" i="12"/>
  <c r="J134" i="12"/>
  <c r="J182" i="12"/>
  <c r="J74" i="12"/>
  <c r="J19" i="12"/>
  <c r="J73" i="12"/>
  <c r="J37" i="12"/>
  <c r="J9" i="12"/>
  <c r="J128" i="12"/>
  <c r="J20" i="12"/>
  <c r="J101" i="12"/>
  <c r="J94" i="12"/>
  <c r="J124" i="12"/>
  <c r="J185" i="12"/>
  <c r="J165" i="12"/>
  <c r="J92" i="12"/>
  <c r="J91" i="12"/>
  <c r="J130" i="12"/>
  <c r="J179" i="12"/>
  <c r="J98" i="12"/>
  <c r="J186" i="12"/>
  <c r="J57" i="12"/>
  <c r="J56" i="12"/>
  <c r="J108" i="12"/>
  <c r="J123" i="12"/>
  <c r="J139" i="12"/>
  <c r="J164" i="12"/>
  <c r="J140" i="12"/>
  <c r="J163" i="12"/>
  <c r="J34" i="12"/>
  <c r="J96" i="12"/>
  <c r="J16" i="12"/>
  <c r="J54" i="12"/>
  <c r="J153" i="12"/>
  <c r="J33" i="12"/>
  <c r="J40" i="12"/>
  <c r="J55" i="12"/>
  <c r="J102" i="12"/>
  <c r="J131" i="12"/>
  <c r="J138" i="12"/>
  <c r="J29" i="12"/>
  <c r="J39" i="12"/>
  <c r="J137" i="12"/>
  <c r="J53" i="12"/>
  <c r="J178" i="12"/>
  <c r="J75" i="12"/>
  <c r="J67" i="12"/>
  <c r="J15" i="12"/>
  <c r="J38" i="12"/>
  <c r="J60" i="12"/>
  <c r="J97" i="12"/>
  <c r="J58" i="12"/>
  <c r="J42" i="12"/>
  <c r="J136" i="12"/>
  <c r="J160" i="12"/>
  <c r="J68" i="12"/>
  <c r="J148" i="12"/>
  <c r="J152" i="12"/>
  <c r="J161" i="12"/>
  <c r="J188" i="12"/>
  <c r="J66" i="12"/>
  <c r="J14" i="12"/>
  <c r="J44" i="12"/>
  <c r="J59" i="12"/>
  <c r="J166" i="12"/>
  <c r="J70" i="12"/>
  <c r="J135" i="12"/>
  <c r="J43" i="12"/>
  <c r="J157" i="12"/>
  <c r="J48" i="12"/>
  <c r="J95" i="12"/>
  <c r="J154" i="12"/>
  <c r="J85" i="12"/>
  <c r="J84" i="12"/>
  <c r="J159" i="12"/>
  <c r="J81" i="12"/>
  <c r="J17" i="12"/>
  <c r="J106" i="12"/>
  <c r="J170" i="12"/>
  <c r="J89" i="12"/>
  <c r="J187" i="12"/>
  <c r="J162" i="12"/>
  <c r="J12" i="12"/>
  <c r="J150" i="12"/>
  <c r="J155" i="12"/>
  <c r="J46" i="12"/>
  <c r="J88" i="12"/>
  <c r="J127" i="12"/>
  <c r="J107" i="12"/>
  <c r="J8" i="12"/>
  <c r="J93" i="12"/>
  <c r="J6" i="12"/>
  <c r="J132" i="12"/>
  <c r="J65" i="12"/>
  <c r="J45" i="12"/>
  <c r="J144" i="12"/>
  <c r="J151" i="12"/>
  <c r="J52" i="12"/>
  <c r="J47" i="12"/>
  <c r="J142" i="3"/>
  <c r="J82" i="12"/>
  <c r="J77" i="12"/>
  <c r="J25" i="12"/>
  <c r="J7" i="12"/>
  <c r="J156" i="12"/>
  <c r="J11" i="12"/>
  <c r="J149" i="12"/>
  <c r="J110" i="12"/>
  <c r="F121" i="3"/>
  <c r="F166" i="3"/>
  <c r="F168" i="3" s="1"/>
  <c r="H111" i="12"/>
  <c r="H177" i="12"/>
  <c r="H62" i="12"/>
  <c r="H35" i="12"/>
  <c r="H93" i="12"/>
  <c r="H7" i="12"/>
  <c r="H133" i="12"/>
  <c r="H27" i="12"/>
  <c r="H46" i="12"/>
  <c r="H135" i="12"/>
  <c r="H15" i="12"/>
  <c r="H99" i="12"/>
  <c r="H13" i="12"/>
  <c r="H102" i="12"/>
  <c r="H32" i="12"/>
  <c r="H68" i="12"/>
  <c r="H91" i="12"/>
  <c r="H6" i="12"/>
  <c r="H101" i="12"/>
  <c r="H77" i="12"/>
  <c r="H14" i="12"/>
  <c r="H74" i="12"/>
  <c r="H98" i="12"/>
  <c r="H11" i="12"/>
  <c r="H157" i="12"/>
  <c r="H95" i="12"/>
  <c r="H34" i="12"/>
  <c r="H128" i="12"/>
  <c r="H103" i="12"/>
  <c r="H130" i="12"/>
  <c r="H51" i="12"/>
  <c r="H113" i="12"/>
  <c r="H80" i="12"/>
  <c r="H56" i="12"/>
  <c r="H138" i="12"/>
  <c r="H16" i="12"/>
  <c r="H24" i="12"/>
  <c r="H90" i="12"/>
  <c r="H75" i="12"/>
  <c r="H86" i="12"/>
  <c r="H180" i="12"/>
  <c r="H145" i="12"/>
  <c r="H22" i="12"/>
  <c r="H142" i="12"/>
  <c r="H96" i="12"/>
  <c r="H117" i="12"/>
  <c r="H108" i="12"/>
  <c r="H151" i="12"/>
  <c r="H184" i="12"/>
  <c r="H134" i="12"/>
  <c r="H87" i="12"/>
  <c r="H26" i="12"/>
  <c r="H178" i="12"/>
  <c r="H155" i="12"/>
  <c r="H112" i="12"/>
  <c r="H40" i="12"/>
  <c r="H18" i="12"/>
  <c r="H170" i="12"/>
  <c r="H152" i="12"/>
  <c r="H141" i="12"/>
  <c r="H30" i="12"/>
  <c r="H172" i="12"/>
  <c r="H61" i="12"/>
  <c r="H63" i="12"/>
  <c r="H78" i="12"/>
  <c r="H161" i="12"/>
  <c r="H9" i="12"/>
  <c r="H66" i="12"/>
  <c r="H53" i="12"/>
  <c r="H65" i="12"/>
  <c r="H83" i="12"/>
  <c r="H85" i="12"/>
  <c r="H158" i="12"/>
  <c r="H106" i="12"/>
  <c r="H143" i="12"/>
  <c r="H179" i="12"/>
  <c r="H185" i="12"/>
  <c r="H92" i="12"/>
  <c r="H94" i="12"/>
  <c r="H8" i="12"/>
  <c r="H110" i="12"/>
  <c r="H39" i="12"/>
  <c r="H169" i="12"/>
  <c r="H59" i="12"/>
  <c r="H105" i="12"/>
  <c r="H121" i="12"/>
  <c r="H47" i="12"/>
  <c r="H118" i="12"/>
  <c r="H45" i="12"/>
  <c r="H31" i="12"/>
  <c r="H64" i="12"/>
  <c r="H168" i="12"/>
  <c r="H159" i="12"/>
  <c r="H97" i="12"/>
  <c r="H36" i="12"/>
  <c r="H181" i="12"/>
  <c r="H148" i="12"/>
  <c r="H58" i="12"/>
  <c r="H171" i="12"/>
  <c r="H127" i="12"/>
  <c r="H84" i="12"/>
  <c r="H82" i="12"/>
  <c r="H139" i="12"/>
  <c r="H140" i="12"/>
  <c r="H29" i="12"/>
  <c r="H123" i="12"/>
  <c r="H48" i="12"/>
  <c r="H154" i="12"/>
  <c r="H107" i="12"/>
  <c r="H37" i="12"/>
  <c r="H104" i="12"/>
  <c r="H33" i="12"/>
  <c r="H183" i="12"/>
  <c r="H54" i="12"/>
  <c r="H129" i="12"/>
  <c r="H71" i="12"/>
  <c r="H144" i="12"/>
  <c r="H17" i="12"/>
  <c r="H147" i="12"/>
  <c r="H115" i="12"/>
  <c r="H89" i="12"/>
  <c r="H50" i="12"/>
  <c r="H69" i="12"/>
  <c r="H21" i="12"/>
  <c r="H57" i="12"/>
  <c r="H72" i="12"/>
  <c r="H188" i="12"/>
  <c r="H38" i="12"/>
  <c r="H52" i="12"/>
  <c r="H10" i="12"/>
  <c r="H19" i="12"/>
  <c r="H109" i="12"/>
  <c r="H25" i="12"/>
  <c r="H43" i="12"/>
  <c r="H166" i="12"/>
  <c r="H182" i="12"/>
  <c r="H28" i="12"/>
  <c r="H163" i="12"/>
  <c r="H146" i="12"/>
  <c r="H67" i="12"/>
  <c r="H156" i="12"/>
  <c r="H142" i="3"/>
  <c r="H162" i="12"/>
  <c r="H41" i="12"/>
  <c r="H137" i="12"/>
  <c r="H160" i="12"/>
  <c r="H173" i="12"/>
  <c r="H119" i="12"/>
  <c r="H126" i="12"/>
  <c r="H120" i="12"/>
  <c r="H55" i="12"/>
  <c r="H150" i="12"/>
  <c r="H153" i="12"/>
  <c r="H49" i="12"/>
  <c r="H70" i="12"/>
  <c r="H175" i="12"/>
  <c r="H114" i="12"/>
  <c r="H100" i="12"/>
  <c r="H136" i="12"/>
  <c r="H88" i="12"/>
  <c r="H23" i="12"/>
  <c r="H76" i="12"/>
  <c r="H164" i="12"/>
  <c r="H79" i="12"/>
  <c r="H116" i="12"/>
  <c r="H189" i="12"/>
  <c r="H131" i="12"/>
  <c r="H149" i="12"/>
  <c r="H20" i="12"/>
  <c r="H122" i="12"/>
  <c r="H125" i="12"/>
  <c r="H42" i="12"/>
  <c r="H174" i="12"/>
  <c r="H132" i="12"/>
  <c r="H73" i="12"/>
  <c r="H187" i="12"/>
  <c r="H44" i="12"/>
  <c r="H60" i="12"/>
  <c r="H165" i="12"/>
  <c r="H186" i="12"/>
  <c r="H167" i="12"/>
  <c r="H81" i="12"/>
  <c r="H176" i="12"/>
  <c r="H12" i="12"/>
  <c r="H124" i="12"/>
  <c r="K166" i="3"/>
  <c r="K168" i="3" s="1"/>
  <c r="K121" i="3"/>
  <c r="G33" i="12"/>
  <c r="G87" i="12"/>
  <c r="G108" i="12"/>
  <c r="G142" i="12"/>
  <c r="G97" i="12"/>
  <c r="G110" i="12"/>
  <c r="G142" i="3"/>
  <c r="G90" i="12"/>
  <c r="G128" i="12"/>
  <c r="G161" i="12"/>
  <c r="G111" i="12"/>
  <c r="G27" i="12"/>
  <c r="G50" i="12"/>
  <c r="G151" i="12"/>
  <c r="G112" i="12"/>
  <c r="G63" i="12"/>
  <c r="G85" i="12"/>
  <c r="G188" i="12"/>
  <c r="G103" i="12"/>
  <c r="G8" i="12"/>
  <c r="G77" i="12"/>
  <c r="G143" i="12"/>
  <c r="G25" i="12"/>
  <c r="G58" i="12"/>
  <c r="G49" i="12"/>
  <c r="G116" i="12"/>
  <c r="G115" i="12"/>
  <c r="G95" i="12"/>
  <c r="G55" i="12"/>
  <c r="G106" i="12"/>
  <c r="G154" i="12"/>
  <c r="G53" i="12"/>
  <c r="G51" i="12"/>
  <c r="G174" i="12"/>
  <c r="G36" i="12"/>
  <c r="G40" i="12"/>
  <c r="G38" i="12"/>
  <c r="G44" i="12"/>
  <c r="G71" i="12"/>
  <c r="G91" i="12"/>
  <c r="G35" i="12"/>
  <c r="G169" i="12"/>
  <c r="G141" i="12"/>
  <c r="G170" i="12"/>
  <c r="G93" i="12"/>
  <c r="G189" i="12"/>
  <c r="G37" i="12"/>
  <c r="G135" i="12"/>
  <c r="G83" i="12"/>
  <c r="G182" i="12"/>
  <c r="G43" i="12"/>
  <c r="G21" i="12"/>
  <c r="G153" i="12"/>
  <c r="G145" i="12"/>
  <c r="G70" i="12"/>
  <c r="G84" i="12"/>
  <c r="G57" i="12"/>
  <c r="G120" i="12"/>
  <c r="G123" i="12"/>
  <c r="G11" i="12"/>
  <c r="G19" i="12"/>
  <c r="G159" i="12"/>
  <c r="G171" i="12"/>
  <c r="G118" i="12"/>
  <c r="G29" i="12"/>
  <c r="G137" i="12"/>
  <c r="G160" i="12"/>
  <c r="G99" i="12"/>
  <c r="G138" i="12"/>
  <c r="G165" i="12"/>
  <c r="G52" i="12"/>
  <c r="G158" i="12"/>
  <c r="G72" i="12"/>
  <c r="G92" i="12"/>
  <c r="G74" i="12"/>
  <c r="G133" i="12"/>
  <c r="G113" i="12"/>
  <c r="G156" i="12"/>
  <c r="G119" i="12"/>
  <c r="G41" i="12"/>
  <c r="G105" i="12"/>
  <c r="G125" i="12"/>
  <c r="G45" i="12"/>
  <c r="G157" i="12"/>
  <c r="G147" i="12"/>
  <c r="G181" i="12"/>
  <c r="G152" i="12"/>
  <c r="G12" i="12"/>
  <c r="G185" i="12"/>
  <c r="G18" i="12"/>
  <c r="G31" i="12"/>
  <c r="G67" i="12"/>
  <c r="G65" i="12"/>
  <c r="G88" i="12"/>
  <c r="G101" i="12"/>
  <c r="G56" i="12"/>
  <c r="G89" i="12"/>
  <c r="G102" i="12"/>
  <c r="G34" i="12"/>
  <c r="G131" i="12"/>
  <c r="G14" i="12"/>
  <c r="G60" i="12"/>
  <c r="G13" i="12"/>
  <c r="G94" i="12"/>
  <c r="G64" i="12"/>
  <c r="G76" i="12"/>
  <c r="G22" i="12"/>
  <c r="G186" i="12"/>
  <c r="G17" i="12"/>
  <c r="G68" i="12"/>
  <c r="G175" i="12"/>
  <c r="G144" i="12"/>
  <c r="G168" i="12"/>
  <c r="G61" i="12"/>
  <c r="G54" i="12"/>
  <c r="G82" i="12"/>
  <c r="G162" i="12"/>
  <c r="G10" i="12"/>
  <c r="G107" i="12"/>
  <c r="G148" i="12"/>
  <c r="G164" i="12"/>
  <c r="G96" i="12"/>
  <c r="G109" i="12"/>
  <c r="G163" i="12"/>
  <c r="G98" i="12"/>
  <c r="G180" i="12"/>
  <c r="G173" i="12"/>
  <c r="G140" i="12"/>
  <c r="G129" i="12"/>
  <c r="G149" i="12"/>
  <c r="G124" i="12"/>
  <c r="G62" i="12"/>
  <c r="G47" i="12"/>
  <c r="G86" i="12"/>
  <c r="G73" i="12"/>
  <c r="G66" i="12"/>
  <c r="G104" i="12"/>
  <c r="G24" i="12"/>
  <c r="G126" i="12"/>
  <c r="G7" i="12"/>
  <c r="G179" i="12"/>
  <c r="G78" i="12"/>
  <c r="G16" i="12"/>
  <c r="G20" i="12"/>
  <c r="G166" i="12"/>
  <c r="G172" i="12"/>
  <c r="G146" i="12"/>
  <c r="G15" i="12"/>
  <c r="G30" i="12"/>
  <c r="G81" i="12"/>
  <c r="G134" i="12"/>
  <c r="G114" i="12"/>
  <c r="G155" i="12"/>
  <c r="G28" i="12"/>
  <c r="G32" i="12"/>
  <c r="G121" i="12"/>
  <c r="G26" i="12"/>
  <c r="G79" i="12"/>
  <c r="G132" i="12"/>
  <c r="G177" i="12"/>
  <c r="G80" i="12"/>
  <c r="G100" i="12"/>
  <c r="G127" i="12"/>
  <c r="G130" i="12"/>
  <c r="G150" i="12"/>
  <c r="G39" i="12"/>
  <c r="G46" i="12"/>
  <c r="G6" i="12"/>
  <c r="G9" i="12"/>
  <c r="G178" i="12"/>
  <c r="G183" i="12"/>
  <c r="G184" i="12"/>
  <c r="G59" i="12"/>
  <c r="G48" i="12"/>
  <c r="G167" i="12"/>
  <c r="G69" i="12"/>
  <c r="G136" i="12"/>
  <c r="G187" i="12"/>
  <c r="G176" i="12"/>
  <c r="G139" i="12"/>
  <c r="G42" i="12"/>
  <c r="G75" i="12"/>
  <c r="G122" i="12"/>
  <c r="G23" i="12"/>
  <c r="G117" i="12"/>
  <c r="I9" i="6" a="1"/>
  <c r="E168" i="3"/>
  <c r="E42" i="12"/>
  <c r="E73" i="12"/>
  <c r="E110" i="12"/>
  <c r="E48" i="12"/>
  <c r="E88" i="12"/>
  <c r="E34" i="12"/>
  <c r="E63" i="12"/>
  <c r="E69" i="12"/>
  <c r="E46" i="12"/>
  <c r="E9" i="12"/>
  <c r="E45" i="12"/>
  <c r="E102" i="12"/>
  <c r="E22" i="12"/>
  <c r="E56" i="12"/>
  <c r="E97" i="12"/>
  <c r="E124" i="12"/>
  <c r="E74" i="12"/>
  <c r="E103" i="12"/>
  <c r="E169" i="12"/>
  <c r="E19" i="12"/>
  <c r="E41" i="12"/>
  <c r="E87" i="12"/>
  <c r="E126" i="12"/>
  <c r="E50" i="12"/>
  <c r="E157" i="12"/>
  <c r="E7" i="12"/>
  <c r="E146" i="12"/>
  <c r="E163" i="12"/>
  <c r="E100" i="12"/>
  <c r="E142" i="12"/>
  <c r="E75" i="12"/>
  <c r="E188" i="12"/>
  <c r="E116" i="12"/>
  <c r="E121" i="12"/>
  <c r="E170" i="12"/>
  <c r="E107" i="12"/>
  <c r="E189" i="12"/>
  <c r="E181" i="12"/>
  <c r="E28" i="12"/>
  <c r="E78" i="12"/>
  <c r="E186" i="12"/>
  <c r="E31" i="12"/>
  <c r="E152" i="12"/>
  <c r="E99" i="12"/>
  <c r="E166" i="12"/>
  <c r="E13" i="12"/>
  <c r="E91" i="12"/>
  <c r="E134" i="12"/>
  <c r="E84" i="12"/>
  <c r="E108" i="12"/>
  <c r="E10" i="12"/>
  <c r="E21" i="12"/>
  <c r="E160" i="12"/>
  <c r="E127" i="12"/>
  <c r="E76" i="12"/>
  <c r="E118" i="12"/>
  <c r="E35" i="12"/>
  <c r="E29" i="12"/>
  <c r="E43" i="12"/>
  <c r="E94" i="12"/>
  <c r="E53" i="12"/>
  <c r="E139" i="12"/>
  <c r="E119" i="12"/>
  <c r="E64" i="12"/>
  <c r="E144" i="12"/>
  <c r="E68" i="12"/>
  <c r="E150" i="12"/>
  <c r="E104" i="12"/>
  <c r="E101" i="12"/>
  <c r="E161" i="12"/>
  <c r="E106" i="12"/>
  <c r="E143" i="12"/>
  <c r="E66" i="12"/>
  <c r="E180" i="12"/>
  <c r="E136" i="12"/>
  <c r="E125" i="12"/>
  <c r="E142" i="3"/>
  <c r="E59" i="12"/>
  <c r="E92" i="12"/>
  <c r="E44" i="12"/>
  <c r="E112" i="12"/>
  <c r="E18" i="12"/>
  <c r="E177" i="12"/>
  <c r="E115" i="12"/>
  <c r="E11" i="12"/>
  <c r="E25" i="12"/>
  <c r="E61" i="12"/>
  <c r="E137" i="12"/>
  <c r="E20" i="12"/>
  <c r="E14" i="12"/>
  <c r="E17" i="12"/>
  <c r="E178" i="12"/>
  <c r="E130" i="12"/>
  <c r="E159" i="12"/>
  <c r="E67" i="12"/>
  <c r="E36" i="12"/>
  <c r="E96" i="12"/>
  <c r="E98" i="12"/>
  <c r="E47" i="12"/>
  <c r="E51" i="12"/>
  <c r="E38" i="12"/>
  <c r="E49" i="12"/>
  <c r="E77" i="12"/>
  <c r="E151" i="12"/>
  <c r="E111" i="12"/>
  <c r="E32" i="12"/>
  <c r="E90" i="12"/>
  <c r="E72" i="12"/>
  <c r="E185" i="12"/>
  <c r="E133" i="12"/>
  <c r="E117" i="12"/>
  <c r="E82" i="12"/>
  <c r="E171" i="12"/>
  <c r="E174" i="12"/>
  <c r="E27" i="12"/>
  <c r="E80" i="12"/>
  <c r="E62" i="12"/>
  <c r="E86" i="12"/>
  <c r="E109" i="12"/>
  <c r="E54" i="12"/>
  <c r="E156" i="12"/>
  <c r="E131" i="12"/>
  <c r="E81" i="12"/>
  <c r="E155" i="12"/>
  <c r="E183" i="12"/>
  <c r="E26" i="12"/>
  <c r="E55" i="12"/>
  <c r="E184" i="12"/>
  <c r="E172" i="12"/>
  <c r="E122" i="12"/>
  <c r="E147" i="12"/>
  <c r="E105" i="12"/>
  <c r="E149" i="12"/>
  <c r="E153" i="12"/>
  <c r="E187" i="12"/>
  <c r="E167" i="12"/>
  <c r="E58" i="12"/>
  <c r="E93" i="12"/>
  <c r="E164" i="12"/>
  <c r="E71" i="12"/>
  <c r="E113" i="12"/>
  <c r="E135" i="12"/>
  <c r="E165" i="12"/>
  <c r="E95" i="12"/>
  <c r="E141" i="12"/>
  <c r="E176" i="12"/>
  <c r="E16" i="12"/>
  <c r="E52" i="12"/>
  <c r="E148" i="12"/>
  <c r="E15" i="12"/>
  <c r="E168" i="12"/>
  <c r="E8" i="12"/>
  <c r="E182" i="12"/>
  <c r="E6" i="12"/>
  <c r="E140" i="12"/>
  <c r="E179" i="12"/>
  <c r="E57" i="12"/>
  <c r="E138" i="12"/>
  <c r="E65" i="12"/>
  <c r="E37" i="12"/>
  <c r="E39" i="12"/>
  <c r="E85" i="12"/>
  <c r="E40" i="12"/>
  <c r="E79" i="12"/>
  <c r="E24" i="12"/>
  <c r="E175" i="12"/>
  <c r="E23" i="12"/>
  <c r="E30" i="12"/>
  <c r="E132" i="12"/>
  <c r="E128" i="12"/>
  <c r="E83" i="12"/>
  <c r="E114" i="12"/>
  <c r="E60" i="12"/>
  <c r="E129" i="12"/>
  <c r="E120" i="12"/>
  <c r="E145" i="12"/>
  <c r="E89" i="12"/>
  <c r="E154" i="12"/>
  <c r="E173" i="12"/>
  <c r="E70" i="12"/>
  <c r="E162" i="12"/>
  <c r="E123" i="12"/>
  <c r="E12" i="12"/>
  <c r="E158" i="12"/>
  <c r="E33" i="12"/>
  <c r="K181" i="12" l="1"/>
  <c r="K41" i="12"/>
  <c r="K162" i="12"/>
  <c r="K60" i="12"/>
  <c r="K92" i="12"/>
  <c r="K99" i="12"/>
  <c r="K106" i="12"/>
  <c r="K141" i="12"/>
  <c r="K6" i="12"/>
  <c r="K44" i="12"/>
  <c r="K76" i="12"/>
  <c r="K140" i="12"/>
  <c r="K186" i="12"/>
  <c r="K176" i="12"/>
  <c r="K147" i="12"/>
  <c r="K177" i="12"/>
  <c r="K75" i="12"/>
  <c r="K70" i="12"/>
  <c r="K101" i="12"/>
  <c r="K72" i="12"/>
  <c r="K98" i="12"/>
  <c r="K112" i="12"/>
  <c r="K16" i="12"/>
  <c r="K133" i="12"/>
  <c r="K47" i="12"/>
  <c r="K185" i="12"/>
  <c r="K12" i="12"/>
  <c r="K100" i="12"/>
  <c r="K34" i="12"/>
  <c r="K28" i="12"/>
  <c r="K131" i="12"/>
  <c r="K113" i="12"/>
  <c r="K187" i="12"/>
  <c r="K13" i="12"/>
  <c r="K173" i="12"/>
  <c r="K33" i="12"/>
  <c r="K67" i="12"/>
  <c r="K52" i="12"/>
  <c r="K84" i="12"/>
  <c r="K175" i="12"/>
  <c r="K157" i="12"/>
  <c r="K17" i="12"/>
  <c r="K154" i="12"/>
  <c r="K86" i="12"/>
  <c r="K27" i="12"/>
  <c r="K78" i="12"/>
  <c r="K109" i="12"/>
  <c r="K143" i="12"/>
  <c r="K11" i="12"/>
  <c r="K37" i="12"/>
  <c r="K107" i="12"/>
  <c r="K24" i="12"/>
  <c r="K178" i="12"/>
  <c r="K136" i="12"/>
  <c r="K59" i="12"/>
  <c r="K90" i="12"/>
  <c r="K115" i="12"/>
  <c r="K105" i="12"/>
  <c r="K129" i="12"/>
  <c r="K40" i="12"/>
  <c r="K165" i="12"/>
  <c r="K25" i="12"/>
  <c r="K170" i="12"/>
  <c r="K94" i="12"/>
  <c r="K125" i="12"/>
  <c r="K167" i="12"/>
  <c r="K139" i="12"/>
  <c r="K127" i="12"/>
  <c r="K19" i="12"/>
  <c r="K55" i="12"/>
  <c r="K142" i="12"/>
  <c r="K120" i="12"/>
  <c r="K160" i="12"/>
  <c r="K188" i="12"/>
  <c r="K66" i="12"/>
  <c r="K88" i="12"/>
  <c r="K49" i="12"/>
  <c r="K135" i="12"/>
  <c r="K48" i="12"/>
  <c r="K172" i="12"/>
  <c r="K31" i="12"/>
  <c r="K61" i="12"/>
  <c r="K51" i="12"/>
  <c r="K82" i="12"/>
  <c r="K126" i="12"/>
  <c r="K130" i="12"/>
  <c r="K146" i="12"/>
  <c r="K8" i="12"/>
  <c r="K35" i="12"/>
  <c r="K150" i="12"/>
  <c r="K123" i="12"/>
  <c r="K77" i="12"/>
  <c r="K117" i="12"/>
  <c r="K128" i="12"/>
  <c r="K168" i="12"/>
  <c r="K32" i="12"/>
  <c r="K134" i="12"/>
  <c r="K97" i="12"/>
  <c r="K121" i="12"/>
  <c r="K58" i="12"/>
  <c r="K89" i="12"/>
  <c r="K45" i="12"/>
  <c r="K161" i="12"/>
  <c r="K182" i="12"/>
  <c r="K132" i="12"/>
  <c r="K80" i="12"/>
  <c r="K54" i="12"/>
  <c r="K104" i="12"/>
  <c r="K148" i="12"/>
  <c r="K164" i="12"/>
  <c r="K23" i="12"/>
  <c r="K189" i="12"/>
  <c r="K43" i="12"/>
  <c r="K74" i="12"/>
  <c r="K159" i="12"/>
  <c r="K149" i="12"/>
  <c r="K7" i="12"/>
  <c r="K91" i="12"/>
  <c r="K18" i="12"/>
  <c r="K108" i="12"/>
  <c r="K69" i="12"/>
  <c r="K151" i="12"/>
  <c r="K155" i="12"/>
  <c r="K179" i="12"/>
  <c r="K38" i="12"/>
  <c r="K180" i="12"/>
  <c r="K102" i="12"/>
  <c r="K71" i="12"/>
  <c r="K14" i="12"/>
  <c r="K63" i="12"/>
  <c r="K64" i="12"/>
  <c r="K50" i="12"/>
  <c r="K81" i="12"/>
  <c r="K142" i="3"/>
  <c r="K153" i="12"/>
  <c r="K138" i="12"/>
  <c r="K29" i="12"/>
  <c r="K156" i="12"/>
  <c r="K15" i="12"/>
  <c r="K118" i="12"/>
  <c r="K85" i="12"/>
  <c r="K116" i="12"/>
  <c r="K158" i="12"/>
  <c r="K68" i="12"/>
  <c r="K183" i="12"/>
  <c r="K10" i="12"/>
  <c r="K46" i="12"/>
  <c r="K79" i="12"/>
  <c r="K111" i="12"/>
  <c r="K83" i="12"/>
  <c r="K56" i="12"/>
  <c r="K39" i="12"/>
  <c r="K144" i="12"/>
  <c r="K103" i="12"/>
  <c r="K137" i="12"/>
  <c r="K174" i="12"/>
  <c r="K36" i="12"/>
  <c r="K169" i="12"/>
  <c r="K122" i="12"/>
  <c r="K163" i="12"/>
  <c r="K22" i="12"/>
  <c r="K184" i="12"/>
  <c r="K42" i="12"/>
  <c r="K73" i="12"/>
  <c r="K93" i="12"/>
  <c r="K124" i="12"/>
  <c r="K166" i="12"/>
  <c r="K26" i="12"/>
  <c r="K62" i="12"/>
  <c r="K95" i="12"/>
  <c r="K9" i="12"/>
  <c r="K87" i="12"/>
  <c r="K119" i="12"/>
  <c r="K110" i="12"/>
  <c r="K20" i="12"/>
  <c r="K57" i="12"/>
  <c r="K53" i="12"/>
  <c r="K96" i="12"/>
  <c r="K21" i="12"/>
  <c r="K171" i="12"/>
  <c r="K30" i="12"/>
  <c r="K114" i="12"/>
  <c r="K145" i="12"/>
  <c r="K65" i="12"/>
  <c r="K152" i="12"/>
  <c r="G143" i="3"/>
  <c r="G144" i="3" s="1"/>
  <c r="G147" i="3" s="1"/>
  <c r="L157" i="3"/>
  <c r="L159" i="3" s="1"/>
  <c r="I15" i="6"/>
  <c r="I14" i="6"/>
  <c r="I13" i="6"/>
  <c r="I12" i="6"/>
  <c r="I10" i="6"/>
  <c r="I16" i="6"/>
  <c r="I11" i="6"/>
  <c r="I9" i="6"/>
  <c r="E143" i="3"/>
  <c r="E144" i="3" s="1"/>
  <c r="E147" i="3" s="1"/>
  <c r="H143" i="3"/>
  <c r="H144" i="3" s="1"/>
  <c r="H147" i="3" s="1"/>
  <c r="F162" i="12"/>
  <c r="U162" i="12" s="1"/>
  <c r="F169" i="12"/>
  <c r="F59" i="12"/>
  <c r="F134" i="12"/>
  <c r="F183" i="12"/>
  <c r="U183" i="12" s="1"/>
  <c r="F44" i="12"/>
  <c r="U44" i="12" s="1"/>
  <c r="F65" i="12"/>
  <c r="F164" i="12"/>
  <c r="F153" i="12"/>
  <c r="U153" i="12" s="1"/>
  <c r="F35" i="12"/>
  <c r="F178" i="12"/>
  <c r="F137" i="12"/>
  <c r="F127" i="12"/>
  <c r="U127" i="12" s="1"/>
  <c r="F33" i="12"/>
  <c r="U33" i="12" s="1"/>
  <c r="F76" i="12"/>
  <c r="U76" i="12" s="1"/>
  <c r="F167" i="12"/>
  <c r="U167" i="12" s="1"/>
  <c r="F138" i="12"/>
  <c r="F69" i="12"/>
  <c r="F19" i="12"/>
  <c r="F68" i="12"/>
  <c r="F70" i="12"/>
  <c r="U70" i="12" s="1"/>
  <c r="F90" i="12"/>
  <c r="F79" i="12"/>
  <c r="U79" i="12" s="1"/>
  <c r="F142" i="3"/>
  <c r="F61" i="12"/>
  <c r="U61" i="12" s="1"/>
  <c r="F23" i="12"/>
  <c r="F154" i="12"/>
  <c r="F132" i="12"/>
  <c r="F71" i="12"/>
  <c r="F156" i="12"/>
  <c r="U156" i="12" s="1"/>
  <c r="F163" i="12"/>
  <c r="F81" i="12"/>
  <c r="F105" i="12"/>
  <c r="U105" i="12" s="1"/>
  <c r="F103" i="12"/>
  <c r="U103" i="12" s="1"/>
  <c r="F172" i="12"/>
  <c r="F57" i="12"/>
  <c r="F100" i="12"/>
  <c r="U100" i="12" s="1"/>
  <c r="F66" i="12"/>
  <c r="F41" i="12"/>
  <c r="U41" i="12" s="1"/>
  <c r="F84" i="12"/>
  <c r="F119" i="12"/>
  <c r="F140" i="12"/>
  <c r="U140" i="12" s="1"/>
  <c r="F13" i="12"/>
  <c r="U13" i="12" s="1"/>
  <c r="F186" i="12"/>
  <c r="F45" i="12"/>
  <c r="F22" i="12"/>
  <c r="F151" i="12"/>
  <c r="U151" i="12" s="1"/>
  <c r="F83" i="12"/>
  <c r="F29" i="12"/>
  <c r="F176" i="12"/>
  <c r="F124" i="12"/>
  <c r="F98" i="12"/>
  <c r="F142" i="12"/>
  <c r="F8" i="12"/>
  <c r="F52" i="12"/>
  <c r="F10" i="12"/>
  <c r="U10" i="12" s="1"/>
  <c r="F18" i="12"/>
  <c r="U18" i="12" s="1"/>
  <c r="F55" i="12"/>
  <c r="F46" i="12"/>
  <c r="F161" i="12"/>
  <c r="F168" i="12"/>
  <c r="F37" i="12"/>
  <c r="U37" i="12" s="1"/>
  <c r="F54" i="12"/>
  <c r="F148" i="12"/>
  <c r="F21" i="12"/>
  <c r="U21" i="12" s="1"/>
  <c r="F143" i="12"/>
  <c r="F87" i="12"/>
  <c r="U87" i="12" s="1"/>
  <c r="F125" i="12"/>
  <c r="U125" i="12" s="1"/>
  <c r="F116" i="12"/>
  <c r="F150" i="12"/>
  <c r="U150" i="12" s="1"/>
  <c r="F62" i="12"/>
  <c r="F58" i="12"/>
  <c r="U58" i="12" s="1"/>
  <c r="F113" i="12"/>
  <c r="F36" i="12"/>
  <c r="U36" i="12" s="1"/>
  <c r="F108" i="12"/>
  <c r="F30" i="12"/>
  <c r="F129" i="12"/>
  <c r="U129" i="12" s="1"/>
  <c r="F89" i="12"/>
  <c r="F120" i="12"/>
  <c r="F135" i="12"/>
  <c r="U135" i="12" s="1"/>
  <c r="F122" i="12"/>
  <c r="U122" i="12" s="1"/>
  <c r="F180" i="12"/>
  <c r="F177" i="12"/>
  <c r="F11" i="12"/>
  <c r="U11" i="12" s="1"/>
  <c r="F47" i="12"/>
  <c r="U47" i="12" s="1"/>
  <c r="F115" i="12"/>
  <c r="U115" i="12" s="1"/>
  <c r="F144" i="12"/>
  <c r="F85" i="12"/>
  <c r="F95" i="12"/>
  <c r="U95" i="12" s="1"/>
  <c r="F179" i="12"/>
  <c r="U179" i="12" s="1"/>
  <c r="F165" i="12"/>
  <c r="F24" i="12"/>
  <c r="U24" i="12" s="1"/>
  <c r="F67" i="12"/>
  <c r="F40" i="12"/>
  <c r="U40" i="12" s="1"/>
  <c r="F88" i="12"/>
  <c r="U88" i="12" s="1"/>
  <c r="F175" i="12"/>
  <c r="F158" i="12"/>
  <c r="U158" i="12" s="1"/>
  <c r="F146" i="12"/>
  <c r="F173" i="12"/>
  <c r="U173" i="12" s="1"/>
  <c r="F31" i="12"/>
  <c r="U31" i="12" s="1"/>
  <c r="F111" i="12"/>
  <c r="F128" i="12"/>
  <c r="F26" i="12"/>
  <c r="F63" i="12"/>
  <c r="U63" i="12" s="1"/>
  <c r="F77" i="12"/>
  <c r="U77" i="12" s="1"/>
  <c r="F184" i="12"/>
  <c r="U184" i="12" s="1"/>
  <c r="F72" i="12"/>
  <c r="U72" i="12" s="1"/>
  <c r="F104" i="12"/>
  <c r="U104" i="12" s="1"/>
  <c r="F6" i="12"/>
  <c r="F112" i="12"/>
  <c r="F48" i="12"/>
  <c r="F91" i="12"/>
  <c r="U91" i="12" s="1"/>
  <c r="F157" i="12"/>
  <c r="U157" i="12" s="1"/>
  <c r="F32" i="12"/>
  <c r="F75" i="12"/>
  <c r="F109" i="12"/>
  <c r="F131" i="12"/>
  <c r="F130" i="12"/>
  <c r="F145" i="12"/>
  <c r="F16" i="12"/>
  <c r="F49" i="12"/>
  <c r="F60" i="12"/>
  <c r="U60" i="12" s="1"/>
  <c r="F94" i="12"/>
  <c r="F101" i="12"/>
  <c r="U101" i="12" s="1"/>
  <c r="F188" i="12"/>
  <c r="U188" i="12" s="1"/>
  <c r="F17" i="12"/>
  <c r="U17" i="12" s="1"/>
  <c r="F166" i="12"/>
  <c r="F64" i="12"/>
  <c r="U64" i="12" s="1"/>
  <c r="F73" i="12"/>
  <c r="U73" i="12" s="1"/>
  <c r="F39" i="12"/>
  <c r="F171" i="12"/>
  <c r="U171" i="12" s="1"/>
  <c r="F96" i="12"/>
  <c r="U96" i="12" s="1"/>
  <c r="F82" i="12"/>
  <c r="U82" i="12" s="1"/>
  <c r="F187" i="12"/>
  <c r="U187" i="12" s="1"/>
  <c r="F133" i="12"/>
  <c r="F189" i="12"/>
  <c r="F43" i="12"/>
  <c r="U43" i="12" s="1"/>
  <c r="F56" i="12"/>
  <c r="F9" i="12"/>
  <c r="F53" i="12"/>
  <c r="U53" i="12" s="1"/>
  <c r="F182" i="12"/>
  <c r="F123" i="12"/>
  <c r="U123" i="12" s="1"/>
  <c r="F155" i="12"/>
  <c r="U155" i="12" s="1"/>
  <c r="F28" i="12"/>
  <c r="U28" i="12" s="1"/>
  <c r="F117" i="12"/>
  <c r="F139" i="12"/>
  <c r="U139" i="12" s="1"/>
  <c r="F12" i="12"/>
  <c r="U12" i="12" s="1"/>
  <c r="F42" i="12"/>
  <c r="U42" i="12" s="1"/>
  <c r="F78" i="12"/>
  <c r="F110" i="12"/>
  <c r="F136" i="12"/>
  <c r="F126" i="12"/>
  <c r="F147" i="12"/>
  <c r="U147" i="12" s="1"/>
  <c r="F97" i="12"/>
  <c r="U97" i="12" s="1"/>
  <c r="F14" i="12"/>
  <c r="U14" i="12" s="1"/>
  <c r="F141" i="12"/>
  <c r="F20" i="12"/>
  <c r="F160" i="12"/>
  <c r="U160" i="12" s="1"/>
  <c r="F99" i="12"/>
  <c r="F80" i="12"/>
  <c r="U80" i="12" s="1"/>
  <c r="F118" i="12"/>
  <c r="U118" i="12" s="1"/>
  <c r="F38" i="12"/>
  <c r="U38" i="12" s="1"/>
  <c r="F114" i="12"/>
  <c r="F121" i="12"/>
  <c r="U121" i="12" s="1"/>
  <c r="F181" i="12"/>
  <c r="U181" i="12" s="1"/>
  <c r="F27" i="12"/>
  <c r="F106" i="12"/>
  <c r="F102" i="12"/>
  <c r="F51" i="12"/>
  <c r="U51" i="12" s="1"/>
  <c r="F50" i="12"/>
  <c r="U50" i="12" s="1"/>
  <c r="F86" i="12"/>
  <c r="U86" i="12" s="1"/>
  <c r="F174" i="12"/>
  <c r="U174" i="12" s="1"/>
  <c r="F149" i="12"/>
  <c r="U149" i="12" s="1"/>
  <c r="F15" i="12"/>
  <c r="U15" i="12" s="1"/>
  <c r="F107" i="12"/>
  <c r="U107" i="12" s="1"/>
  <c r="F159" i="12"/>
  <c r="U159" i="12" s="1"/>
  <c r="F170" i="12"/>
  <c r="U170" i="12" s="1"/>
  <c r="F92" i="12"/>
  <c r="U92" i="12" s="1"/>
  <c r="F25" i="12"/>
  <c r="F34" i="12"/>
  <c r="F7" i="12"/>
  <c r="F74" i="12"/>
  <c r="U74" i="12" s="1"/>
  <c r="F185" i="12"/>
  <c r="U185" i="12" s="1"/>
  <c r="F93" i="12"/>
  <c r="F152" i="12"/>
  <c r="U152" i="12" s="1"/>
  <c r="I157" i="3"/>
  <c r="I159" i="3" s="1"/>
  <c r="U154" i="12"/>
  <c r="J143" i="3"/>
  <c r="J144" i="3" s="1"/>
  <c r="J147" i="3" s="1"/>
  <c r="U22" i="12" l="1"/>
  <c r="U128" i="12"/>
  <c r="U84" i="12"/>
  <c r="E83" i="13" s="1"/>
  <c r="U56" i="12"/>
  <c r="U146" i="12"/>
  <c r="V146" i="12" s="1"/>
  <c r="F145" i="13" s="1"/>
  <c r="U180" i="12"/>
  <c r="U55" i="12"/>
  <c r="E54" i="13" s="1"/>
  <c r="U176" i="12"/>
  <c r="E175" i="13" s="1"/>
  <c r="U23" i="12"/>
  <c r="E22" i="13" s="1"/>
  <c r="U68" i="12"/>
  <c r="U106" i="12"/>
  <c r="U99" i="12"/>
  <c r="U136" i="12"/>
  <c r="U166" i="12"/>
  <c r="U48" i="12"/>
  <c r="U52" i="12"/>
  <c r="U130" i="12"/>
  <c r="V130" i="12" s="1"/>
  <c r="F129" i="13" s="1"/>
  <c r="U112" i="12"/>
  <c r="U20" i="12"/>
  <c r="E19" i="13" s="1"/>
  <c r="U78" i="12"/>
  <c r="U131" i="12"/>
  <c r="U116" i="12"/>
  <c r="U168" i="12"/>
  <c r="E167" i="13" s="1"/>
  <c r="U142" i="12"/>
  <c r="E141" i="13" s="1"/>
  <c r="U45" i="12"/>
  <c r="V45" i="12" s="1"/>
  <c r="F44" i="13" s="1"/>
  <c r="U102" i="12"/>
  <c r="U16" i="12"/>
  <c r="E15" i="13" s="1"/>
  <c r="U110" i="12"/>
  <c r="U109" i="12"/>
  <c r="U25" i="12"/>
  <c r="U114" i="12"/>
  <c r="U124" i="12"/>
  <c r="V124" i="12" s="1"/>
  <c r="F123" i="13" s="1"/>
  <c r="U26" i="12"/>
  <c r="V26" i="12" s="1"/>
  <c r="F25" i="13" s="1"/>
  <c r="U172" i="12"/>
  <c r="U90" i="12"/>
  <c r="U175" i="12"/>
  <c r="U177" i="12"/>
  <c r="U145" i="12"/>
  <c r="U54" i="12"/>
  <c r="U66" i="12"/>
  <c r="E65" i="13" s="1"/>
  <c r="U161" i="12"/>
  <c r="E160" i="13" s="1"/>
  <c r="U137" i="12"/>
  <c r="U9" i="12"/>
  <c r="U46" i="12"/>
  <c r="U59" i="12"/>
  <c r="U148" i="12"/>
  <c r="U27" i="12"/>
  <c r="U19" i="12"/>
  <c r="U132" i="12"/>
  <c r="E131" i="13" s="1"/>
  <c r="U134" i="12"/>
  <c r="E133" i="13" s="1"/>
  <c r="U39" i="12"/>
  <c r="E38" i="13" s="1"/>
  <c r="U32" i="12"/>
  <c r="U143" i="12"/>
  <c r="E142" i="13" s="1"/>
  <c r="U69" i="12"/>
  <c r="E68" i="13" s="1"/>
  <c r="U35" i="12"/>
  <c r="V35" i="12" s="1"/>
  <c r="F34" i="13" s="1"/>
  <c r="U169" i="12"/>
  <c r="V169" i="12" s="1"/>
  <c r="F168" i="13" s="1"/>
  <c r="U119" i="12"/>
  <c r="V119" i="12" s="1"/>
  <c r="F118" i="13" s="1"/>
  <c r="U93" i="12"/>
  <c r="E92" i="13" s="1"/>
  <c r="U85" i="12"/>
  <c r="U7" i="12"/>
  <c r="U89" i="12"/>
  <c r="V89" i="12" s="1"/>
  <c r="F88" i="13" s="1"/>
  <c r="U29" i="12"/>
  <c r="U189" i="12"/>
  <c r="U83" i="12"/>
  <c r="V83" i="12" s="1"/>
  <c r="F82" i="13" s="1"/>
  <c r="U164" i="12"/>
  <c r="E163" i="13" s="1"/>
  <c r="U133" i="12"/>
  <c r="E132" i="13" s="1"/>
  <c r="U144" i="12"/>
  <c r="U120" i="12"/>
  <c r="U62" i="12"/>
  <c r="E61" i="13" s="1"/>
  <c r="U117" i="12"/>
  <c r="E116" i="13" s="1"/>
  <c r="U49" i="12"/>
  <c r="V49" i="12" s="1"/>
  <c r="F48" i="13" s="1"/>
  <c r="U113" i="12"/>
  <c r="E112" i="13" s="1"/>
  <c r="U138" i="12"/>
  <c r="V138" i="12" s="1"/>
  <c r="F137" i="13" s="1"/>
  <c r="U126" i="12"/>
  <c r="E125" i="13" s="1"/>
  <c r="U81" i="12"/>
  <c r="V81" i="12" s="1"/>
  <c r="F80" i="13" s="1"/>
  <c r="U163" i="12"/>
  <c r="E162" i="13" s="1"/>
  <c r="U8" i="12"/>
  <c r="E7" i="13" s="1"/>
  <c r="U65" i="12"/>
  <c r="U182" i="12"/>
  <c r="V182" i="12" s="1"/>
  <c r="F181" i="13" s="1"/>
  <c r="U111" i="12"/>
  <c r="V111" i="12" s="1"/>
  <c r="U67" i="12"/>
  <c r="E66" i="13" s="1"/>
  <c r="U71" i="12"/>
  <c r="E70" i="13" s="1"/>
  <c r="U141" i="12"/>
  <c r="U30" i="12"/>
  <c r="E29" i="13" s="1"/>
  <c r="U98" i="12"/>
  <c r="E97" i="13" s="1"/>
  <c r="U186" i="12"/>
  <c r="U57" i="12"/>
  <c r="V57" i="12" s="1"/>
  <c r="F56" i="13" s="1"/>
  <c r="U34" i="12"/>
  <c r="E33" i="13" s="1"/>
  <c r="U94" i="12"/>
  <c r="E93" i="13" s="1"/>
  <c r="U165" i="12"/>
  <c r="E164" i="13" s="1"/>
  <c r="U108" i="12"/>
  <c r="U178" i="12"/>
  <c r="E177" i="13" s="1"/>
  <c r="U75" i="12"/>
  <c r="V75" i="12" s="1"/>
  <c r="F74" i="13" s="1"/>
  <c r="U6" i="12"/>
  <c r="E5" i="13" s="1"/>
  <c r="E96" i="13"/>
  <c r="V97" i="12"/>
  <c r="F96" i="13" s="1"/>
  <c r="E59" i="13"/>
  <c r="V60" i="12"/>
  <c r="F59" i="13" s="1"/>
  <c r="E179" i="13"/>
  <c r="V180" i="12"/>
  <c r="F179" i="13" s="1"/>
  <c r="E102" i="13"/>
  <c r="V103" i="12"/>
  <c r="F102" i="13" s="1"/>
  <c r="V69" i="12"/>
  <c r="F68" i="13" s="1"/>
  <c r="E168" i="13"/>
  <c r="E67" i="13"/>
  <c r="V68" i="12"/>
  <c r="F67" i="13" s="1"/>
  <c r="E151" i="13"/>
  <c r="V152" i="12"/>
  <c r="F151" i="13" s="1"/>
  <c r="E169" i="13"/>
  <c r="V170" i="12"/>
  <c r="F169" i="13" s="1"/>
  <c r="E50" i="13"/>
  <c r="V51" i="12"/>
  <c r="F50" i="13" s="1"/>
  <c r="E117" i="13"/>
  <c r="V118" i="12"/>
  <c r="F117" i="13" s="1"/>
  <c r="E146" i="13"/>
  <c r="V147" i="12"/>
  <c r="F146" i="13" s="1"/>
  <c r="E42" i="13"/>
  <c r="V43" i="12"/>
  <c r="F42" i="13" s="1"/>
  <c r="E72" i="13"/>
  <c r="V73" i="12"/>
  <c r="F72" i="13" s="1"/>
  <c r="E48" i="13"/>
  <c r="E156" i="13"/>
  <c r="V157" i="12"/>
  <c r="F156" i="13" s="1"/>
  <c r="E76" i="13"/>
  <c r="V77" i="12"/>
  <c r="F76" i="13" s="1"/>
  <c r="E157" i="13"/>
  <c r="V158" i="12"/>
  <c r="F157" i="13" s="1"/>
  <c r="E94" i="13"/>
  <c r="V95" i="12"/>
  <c r="F94" i="13" s="1"/>
  <c r="E20" i="13"/>
  <c r="V21" i="12"/>
  <c r="F20" i="13" s="1"/>
  <c r="E28" i="13"/>
  <c r="V29" i="12"/>
  <c r="F28" i="13" s="1"/>
  <c r="E152" i="13"/>
  <c r="V153" i="12"/>
  <c r="F152" i="13" s="1"/>
  <c r="E158" i="13"/>
  <c r="V159" i="12"/>
  <c r="F158" i="13" s="1"/>
  <c r="E101" i="13"/>
  <c r="V102" i="12"/>
  <c r="F101" i="13" s="1"/>
  <c r="E79" i="13"/>
  <c r="V80" i="12"/>
  <c r="F79" i="13" s="1"/>
  <c r="E27" i="13"/>
  <c r="V28" i="12"/>
  <c r="F27" i="13" s="1"/>
  <c r="E63" i="13"/>
  <c r="V64" i="12"/>
  <c r="F63" i="13" s="1"/>
  <c r="E90" i="13"/>
  <c r="V91" i="12"/>
  <c r="F90" i="13" s="1"/>
  <c r="E57" i="13"/>
  <c r="V58" i="12"/>
  <c r="F57" i="13" s="1"/>
  <c r="V84" i="12"/>
  <c r="F83" i="13" s="1"/>
  <c r="E166" i="13"/>
  <c r="V167" i="12"/>
  <c r="F166" i="13" s="1"/>
  <c r="E49" i="13"/>
  <c r="V50" i="12"/>
  <c r="F49" i="13" s="1"/>
  <c r="V39" i="12"/>
  <c r="F38" i="13" s="1"/>
  <c r="E178" i="13"/>
  <c r="V179" i="12"/>
  <c r="F178" i="13" s="1"/>
  <c r="V55" i="12"/>
  <c r="F54" i="13" s="1"/>
  <c r="E106" i="13"/>
  <c r="V107" i="12"/>
  <c r="F106" i="13" s="1"/>
  <c r="E154" i="13"/>
  <c r="V155" i="12"/>
  <c r="F154" i="13" s="1"/>
  <c r="E165" i="13"/>
  <c r="V166" i="12"/>
  <c r="F165" i="13" s="1"/>
  <c r="E87" i="13"/>
  <c r="V88" i="12"/>
  <c r="F87" i="13" s="1"/>
  <c r="E51" i="13"/>
  <c r="V52" i="12"/>
  <c r="F51" i="13" s="1"/>
  <c r="E40" i="13"/>
  <c r="V41" i="12"/>
  <c r="F40" i="13" s="1"/>
  <c r="E78" i="13"/>
  <c r="V79" i="12"/>
  <c r="F78" i="13" s="1"/>
  <c r="E75" i="13"/>
  <c r="V76" i="12"/>
  <c r="F75" i="13" s="1"/>
  <c r="E73" i="13"/>
  <c r="V74" i="12"/>
  <c r="F73" i="13" s="1"/>
  <c r="E122" i="13"/>
  <c r="V123" i="12"/>
  <c r="F122" i="13" s="1"/>
  <c r="E39" i="13"/>
  <c r="V40" i="12"/>
  <c r="F39" i="13" s="1"/>
  <c r="E36" i="13"/>
  <c r="V37" i="12"/>
  <c r="F36" i="13" s="1"/>
  <c r="E32" i="13"/>
  <c r="V33" i="12"/>
  <c r="F32" i="13" s="1"/>
  <c r="E148" i="13"/>
  <c r="V149" i="12"/>
  <c r="F148" i="13" s="1"/>
  <c r="E180" i="13"/>
  <c r="V181" i="12"/>
  <c r="F180" i="13" s="1"/>
  <c r="V20" i="12"/>
  <c r="F19" i="13" s="1"/>
  <c r="E77" i="13"/>
  <c r="V78" i="12"/>
  <c r="F77" i="13" s="1"/>
  <c r="E81" i="13"/>
  <c r="V82" i="12"/>
  <c r="F81" i="13" s="1"/>
  <c r="E187" i="13"/>
  <c r="V188" i="12"/>
  <c r="F187" i="13" s="1"/>
  <c r="E46" i="13"/>
  <c r="V47" i="12"/>
  <c r="F46" i="13" s="1"/>
  <c r="E128" i="13"/>
  <c r="V129" i="12"/>
  <c r="F128" i="13" s="1"/>
  <c r="E115" i="13"/>
  <c r="V116" i="12"/>
  <c r="F115" i="13" s="1"/>
  <c r="V168" i="12"/>
  <c r="F167" i="13" s="1"/>
  <c r="E99" i="13"/>
  <c r="V100" i="12"/>
  <c r="F99" i="13" s="1"/>
  <c r="V71" i="12"/>
  <c r="F70" i="13" s="1"/>
  <c r="E69" i="13"/>
  <c r="V70" i="12"/>
  <c r="F69" i="13" s="1"/>
  <c r="E126" i="13"/>
  <c r="V127" i="12"/>
  <c r="F126" i="13" s="1"/>
  <c r="V183" i="12"/>
  <c r="F182" i="13" s="1"/>
  <c r="E182" i="13"/>
  <c r="E91" i="13"/>
  <c r="V92" i="12"/>
  <c r="F91" i="13" s="1"/>
  <c r="E138" i="13"/>
  <c r="V139" i="12"/>
  <c r="F138" i="13" s="1"/>
  <c r="E145" i="13"/>
  <c r="E105" i="13"/>
  <c r="V106" i="12"/>
  <c r="F105" i="13" s="1"/>
  <c r="V133" i="12"/>
  <c r="F132" i="13" s="1"/>
  <c r="E47" i="13"/>
  <c r="V48" i="12"/>
  <c r="F47" i="13" s="1"/>
  <c r="E143" i="13"/>
  <c r="V144" i="12"/>
  <c r="F143" i="13" s="1"/>
  <c r="E53" i="13"/>
  <c r="V54" i="12"/>
  <c r="F53" i="13" s="1"/>
  <c r="E150" i="13"/>
  <c r="V151" i="12"/>
  <c r="F150" i="13" s="1"/>
  <c r="E64" i="13"/>
  <c r="V65" i="12"/>
  <c r="F64" i="13" s="1"/>
  <c r="J152" i="3"/>
  <c r="J148" i="3"/>
  <c r="J149" i="3"/>
  <c r="E159" i="13"/>
  <c r="V160" i="12"/>
  <c r="F159" i="13" s="1"/>
  <c r="E16" i="13"/>
  <c r="V17" i="12"/>
  <c r="F16" i="13" s="1"/>
  <c r="E111" i="13"/>
  <c r="V112" i="12"/>
  <c r="F111" i="13" s="1"/>
  <c r="E43" i="13"/>
  <c r="V44" i="12"/>
  <c r="F43" i="13" s="1"/>
  <c r="V34" i="12"/>
  <c r="F33" i="13" s="1"/>
  <c r="E173" i="13"/>
  <c r="V174" i="12"/>
  <c r="F173" i="13" s="1"/>
  <c r="E120" i="13"/>
  <c r="V121" i="12"/>
  <c r="F120" i="13" s="1"/>
  <c r="E140" i="13"/>
  <c r="V141" i="12"/>
  <c r="F140" i="13" s="1"/>
  <c r="E41" i="13"/>
  <c r="V42" i="12"/>
  <c r="F41" i="13" s="1"/>
  <c r="E52" i="13"/>
  <c r="V53" i="12"/>
  <c r="F52" i="13" s="1"/>
  <c r="E95" i="13"/>
  <c r="V96" i="12"/>
  <c r="F95" i="13" s="1"/>
  <c r="E100" i="13"/>
  <c r="V101" i="12"/>
  <c r="F100" i="13" s="1"/>
  <c r="E108" i="13"/>
  <c r="V109" i="12"/>
  <c r="F108" i="13" s="1"/>
  <c r="E103" i="13"/>
  <c r="V104" i="12"/>
  <c r="F103" i="13" s="1"/>
  <c r="E30" i="13"/>
  <c r="V31" i="12"/>
  <c r="F30" i="13" s="1"/>
  <c r="E23" i="13"/>
  <c r="V24" i="12"/>
  <c r="F23" i="13" s="1"/>
  <c r="E10" i="13"/>
  <c r="V11" i="12"/>
  <c r="F10" i="13" s="1"/>
  <c r="E124" i="13"/>
  <c r="V125" i="12"/>
  <c r="F124" i="13" s="1"/>
  <c r="E185" i="13"/>
  <c r="V186" i="12"/>
  <c r="F185" i="13" s="1"/>
  <c r="E56" i="13"/>
  <c r="E136" i="13"/>
  <c r="V137" i="12"/>
  <c r="F136" i="13" s="1"/>
  <c r="E152" i="3"/>
  <c r="E149" i="3"/>
  <c r="E148" i="3"/>
  <c r="E37" i="13"/>
  <c r="V38" i="12"/>
  <c r="F37" i="13" s="1"/>
  <c r="E55" i="13"/>
  <c r="V56" i="12"/>
  <c r="F55" i="13" s="1"/>
  <c r="E31" i="13"/>
  <c r="V32" i="12"/>
  <c r="F31" i="13" s="1"/>
  <c r="E35" i="13"/>
  <c r="V36" i="12"/>
  <c r="F35" i="13" s="1"/>
  <c r="E85" i="13"/>
  <c r="V86" i="12"/>
  <c r="F85" i="13" s="1"/>
  <c r="E113" i="13"/>
  <c r="V114" i="12"/>
  <c r="F113" i="13" s="1"/>
  <c r="E13" i="13"/>
  <c r="V14" i="12"/>
  <c r="F13" i="13" s="1"/>
  <c r="E11" i="13"/>
  <c r="V12" i="12"/>
  <c r="F11" i="13" s="1"/>
  <c r="E8" i="13"/>
  <c r="V9" i="12"/>
  <c r="F8" i="13" s="1"/>
  <c r="E71" i="13"/>
  <c r="V72" i="12"/>
  <c r="F71" i="13" s="1"/>
  <c r="V165" i="12"/>
  <c r="F164" i="13" s="1"/>
  <c r="E107" i="13"/>
  <c r="V108" i="12"/>
  <c r="F107" i="13" s="1"/>
  <c r="E123" i="13"/>
  <c r="E58" i="13"/>
  <c r="V59" i="12"/>
  <c r="F58" i="13" s="1"/>
  <c r="E153" i="13"/>
  <c r="V154" i="12"/>
  <c r="F153" i="13" s="1"/>
  <c r="E18" i="13"/>
  <c r="V19" i="12"/>
  <c r="F18" i="13" s="1"/>
  <c r="E114" i="13"/>
  <c r="V115" i="12"/>
  <c r="F114" i="13" s="1"/>
  <c r="E134" i="13"/>
  <c r="V135" i="12"/>
  <c r="F134" i="13" s="1"/>
  <c r="E21" i="13"/>
  <c r="V22" i="12"/>
  <c r="F21" i="13" s="1"/>
  <c r="E104" i="13"/>
  <c r="V105" i="12"/>
  <c r="F104" i="13" s="1"/>
  <c r="E14" i="13"/>
  <c r="V15" i="12"/>
  <c r="F14" i="13" s="1"/>
  <c r="E86" i="13"/>
  <c r="V87" i="12"/>
  <c r="F86" i="13" s="1"/>
  <c r="E161" i="13"/>
  <c r="V162" i="12"/>
  <c r="F161" i="13" s="1"/>
  <c r="E119" i="13"/>
  <c r="V120" i="12"/>
  <c r="F119" i="13" s="1"/>
  <c r="E144" i="13"/>
  <c r="V145" i="12"/>
  <c r="F144" i="13" s="1"/>
  <c r="E130" i="13"/>
  <c r="V131" i="12"/>
  <c r="F130" i="13" s="1"/>
  <c r="E139" i="13"/>
  <c r="V140" i="12"/>
  <c r="F139" i="13" s="1"/>
  <c r="E147" i="13"/>
  <c r="V148" i="12"/>
  <c r="F147" i="13" s="1"/>
  <c r="E24" i="13"/>
  <c r="V25" i="12"/>
  <c r="F24" i="13" s="1"/>
  <c r="E155" i="13"/>
  <c r="V156" i="12"/>
  <c r="F155" i="13" s="1"/>
  <c r="E45" i="13"/>
  <c r="V46" i="12"/>
  <c r="F45" i="13" s="1"/>
  <c r="E109" i="13"/>
  <c r="V110" i="12"/>
  <c r="F109" i="13" s="1"/>
  <c r="E149" i="13"/>
  <c r="V150" i="12"/>
  <c r="F149" i="13" s="1"/>
  <c r="E121" i="13"/>
  <c r="V122" i="12"/>
  <c r="F121" i="13" s="1"/>
  <c r="E118" i="13"/>
  <c r="I169" i="3"/>
  <c r="I171" i="3"/>
  <c r="L169" i="3"/>
  <c r="L171" i="3"/>
  <c r="E26" i="13"/>
  <c r="V27" i="12"/>
  <c r="F26" i="13" s="1"/>
  <c r="E129" i="13"/>
  <c r="E12" i="13"/>
  <c r="V13" i="12"/>
  <c r="F12" i="13" s="1"/>
  <c r="E186" i="13"/>
  <c r="V187" i="12"/>
  <c r="F186" i="13" s="1"/>
  <c r="E98" i="13"/>
  <c r="V99" i="12"/>
  <c r="F98" i="13" s="1"/>
  <c r="E188" i="13"/>
  <c r="V189" i="12"/>
  <c r="F188" i="13" s="1"/>
  <c r="E17" i="13"/>
  <c r="V18" i="12"/>
  <c r="F17" i="13" s="1"/>
  <c r="E60" i="13"/>
  <c r="V61" i="12"/>
  <c r="F60" i="13" s="1"/>
  <c r="E183" i="13"/>
  <c r="V184" i="12"/>
  <c r="F183" i="13" s="1"/>
  <c r="E176" i="13"/>
  <c r="V177" i="12"/>
  <c r="F176" i="13" s="1"/>
  <c r="E174" i="13"/>
  <c r="V175" i="12"/>
  <c r="F174" i="13" s="1"/>
  <c r="F143" i="3"/>
  <c r="F144" i="3" s="1"/>
  <c r="F147" i="3" s="1"/>
  <c r="K143" i="3"/>
  <c r="K144" i="3" s="1"/>
  <c r="K147" i="3" s="1"/>
  <c r="E44" i="13"/>
  <c r="E62" i="13"/>
  <c r="V63" i="12"/>
  <c r="F62" i="13" s="1"/>
  <c r="H152" i="3"/>
  <c r="H149" i="3"/>
  <c r="H148" i="3"/>
  <c r="G148" i="3"/>
  <c r="G152" i="3"/>
  <c r="G149" i="3"/>
  <c r="E9" i="13"/>
  <c r="V10" i="12"/>
  <c r="F9" i="13" s="1"/>
  <c r="E171" i="13"/>
  <c r="V172" i="12"/>
  <c r="F171" i="13" s="1"/>
  <c r="E135" i="13"/>
  <c r="V136" i="12"/>
  <c r="F135" i="13" s="1"/>
  <c r="E172" i="13"/>
  <c r="V173" i="12"/>
  <c r="F172" i="13" s="1"/>
  <c r="E184" i="13"/>
  <c r="V185" i="12"/>
  <c r="F184" i="13" s="1"/>
  <c r="E170" i="13"/>
  <c r="V171" i="12"/>
  <c r="F170" i="13" s="1"/>
  <c r="E84" i="13"/>
  <c r="V85" i="12"/>
  <c r="F84" i="13" s="1"/>
  <c r="E6" i="13"/>
  <c r="V7" i="12"/>
  <c r="F6" i="13" s="1"/>
  <c r="E89" i="13"/>
  <c r="V90" i="12"/>
  <c r="F89" i="13" s="1"/>
  <c r="E127" i="13"/>
  <c r="V128" i="12"/>
  <c r="F127" i="13" s="1"/>
  <c r="V66" i="12" l="1"/>
  <c r="F65" i="13" s="1"/>
  <c r="W56" i="12"/>
  <c r="W44" i="12"/>
  <c r="V176" i="12"/>
  <c r="F175" i="13" s="1"/>
  <c r="V142" i="12"/>
  <c r="F141" i="13" s="1"/>
  <c r="W68" i="12"/>
  <c r="E181" i="13"/>
  <c r="E34" i="13"/>
  <c r="V16" i="12"/>
  <c r="F15" i="13" s="1"/>
  <c r="W179" i="12"/>
  <c r="E80" i="13"/>
  <c r="V164" i="12"/>
  <c r="F163" i="13" s="1"/>
  <c r="E25" i="13"/>
  <c r="V132" i="12"/>
  <c r="F131" i="13" s="1"/>
  <c r="E137" i="13"/>
  <c r="V23" i="12"/>
  <c r="F22" i="13" s="1"/>
  <c r="V161" i="12"/>
  <c r="F160" i="13" s="1"/>
  <c r="V94" i="12"/>
  <c r="F93" i="13" s="1"/>
  <c r="W53" i="12"/>
  <c r="X53" i="12" s="1"/>
  <c r="V67" i="12"/>
  <c r="F66" i="13" s="1"/>
  <c r="W12" i="12"/>
  <c r="X12" i="12" s="1"/>
  <c r="W107" i="12"/>
  <c r="E82" i="13"/>
  <c r="V6" i="12"/>
  <c r="W6" i="12" s="1"/>
  <c r="V98" i="12"/>
  <c r="F97" i="13" s="1"/>
  <c r="V126" i="12"/>
  <c r="F125" i="13" s="1"/>
  <c r="W180" i="12"/>
  <c r="X180" i="12" s="1"/>
  <c r="W118" i="12"/>
  <c r="X118" i="12" s="1"/>
  <c r="W25" i="12"/>
  <c r="G24" i="13" s="1"/>
  <c r="E88" i="13"/>
  <c r="E74" i="13"/>
  <c r="V8" i="12"/>
  <c r="F7" i="13" s="1"/>
  <c r="V62" i="12"/>
  <c r="F61" i="13" s="1"/>
  <c r="W90" i="12"/>
  <c r="G89" i="13" s="1"/>
  <c r="V134" i="12"/>
  <c r="F133" i="13" s="1"/>
  <c r="V93" i="12"/>
  <c r="F92" i="13" s="1"/>
  <c r="W32" i="12"/>
  <c r="V143" i="12"/>
  <c r="F142" i="13" s="1"/>
  <c r="W41" i="12"/>
  <c r="X41" i="12" s="1"/>
  <c r="F110" i="13"/>
  <c r="W111" i="12"/>
  <c r="G110" i="13" s="1"/>
  <c r="W45" i="12"/>
  <c r="W129" i="12"/>
  <c r="G128" i="13" s="1"/>
  <c r="E110" i="13"/>
  <c r="W58" i="12"/>
  <c r="W152" i="12"/>
  <c r="X152" i="12" s="1"/>
  <c r="W46" i="12"/>
  <c r="G45" i="13" s="1"/>
  <c r="W160" i="12"/>
  <c r="G159" i="13" s="1"/>
  <c r="W43" i="12"/>
  <c r="G42" i="13" s="1"/>
  <c r="V113" i="12"/>
  <c r="F112" i="13" s="1"/>
  <c r="W157" i="12"/>
  <c r="X157" i="12" s="1"/>
  <c r="W122" i="12"/>
  <c r="G121" i="13" s="1"/>
  <c r="W104" i="12"/>
  <c r="W71" i="12"/>
  <c r="V117" i="12"/>
  <c r="F116" i="13" s="1"/>
  <c r="G157" i="3"/>
  <c r="G159" i="3" s="1"/>
  <c r="W87" i="12"/>
  <c r="G86" i="13" s="1"/>
  <c r="H157" i="3"/>
  <c r="H159" i="3" s="1"/>
  <c r="W108" i="12"/>
  <c r="X108" i="12" s="1"/>
  <c r="W9" i="12"/>
  <c r="G8" i="13" s="1"/>
  <c r="J157" i="3"/>
  <c r="J159" i="3" s="1"/>
  <c r="J171" i="3" s="1"/>
  <c r="W166" i="12"/>
  <c r="W55" i="12"/>
  <c r="G54" i="13" s="1"/>
  <c r="W42" i="12"/>
  <c r="G41" i="13" s="1"/>
  <c r="W159" i="12"/>
  <c r="G158" i="13" s="1"/>
  <c r="W51" i="12"/>
  <c r="G50" i="13" s="1"/>
  <c r="W61" i="12"/>
  <c r="W27" i="12"/>
  <c r="G26" i="13" s="1"/>
  <c r="W119" i="12"/>
  <c r="G118" i="13" s="1"/>
  <c r="V178" i="12"/>
  <c r="F177" i="13" s="1"/>
  <c r="W165" i="12"/>
  <c r="G164" i="13" s="1"/>
  <c r="V30" i="12"/>
  <c r="F29" i="13" s="1"/>
  <c r="W34" i="12"/>
  <c r="X34" i="12" s="1"/>
  <c r="V163" i="12"/>
  <c r="W144" i="12"/>
  <c r="G143" i="13" s="1"/>
  <c r="W106" i="12"/>
  <c r="X106" i="12" s="1"/>
  <c r="W168" i="12"/>
  <c r="G167" i="13" s="1"/>
  <c r="W47" i="12"/>
  <c r="G46" i="13" s="1"/>
  <c r="W21" i="12"/>
  <c r="G20" i="13" s="1"/>
  <c r="W158" i="12"/>
  <c r="G157" i="13" s="1"/>
  <c r="W89" i="12"/>
  <c r="G88" i="13" s="1"/>
  <c r="U190" i="12"/>
  <c r="W83" i="12"/>
  <c r="G82" i="13" s="1"/>
  <c r="W86" i="12"/>
  <c r="X86" i="12" s="1"/>
  <c r="W11" i="12"/>
  <c r="G10" i="13" s="1"/>
  <c r="W112" i="12"/>
  <c r="G111" i="13" s="1"/>
  <c r="W48" i="12"/>
  <c r="G47" i="13" s="1"/>
  <c r="W73" i="12"/>
  <c r="G72" i="13" s="1"/>
  <c r="W175" i="12"/>
  <c r="G174" i="13" s="1"/>
  <c r="W7" i="12"/>
  <c r="G6" i="13" s="1"/>
  <c r="W19" i="12"/>
  <c r="G18" i="13" s="1"/>
  <c r="W40" i="12"/>
  <c r="G39" i="13" s="1"/>
  <c r="W76" i="12"/>
  <c r="X76" i="12" s="1"/>
  <c r="W35" i="12"/>
  <c r="G34" i="13" s="1"/>
  <c r="W140" i="12"/>
  <c r="G139" i="13" s="1"/>
  <c r="W22" i="12"/>
  <c r="G21" i="13" s="1"/>
  <c r="W14" i="12"/>
  <c r="G13" i="13" s="1"/>
  <c r="W38" i="12"/>
  <c r="G37" i="13" s="1"/>
  <c r="W121" i="12"/>
  <c r="G120" i="13" s="1"/>
  <c r="W17" i="12"/>
  <c r="G16" i="13" s="1"/>
  <c r="W54" i="12"/>
  <c r="X54" i="12" s="1"/>
  <c r="W100" i="12"/>
  <c r="G99" i="13" s="1"/>
  <c r="W182" i="12"/>
  <c r="G181" i="13" s="1"/>
  <c r="W28" i="12"/>
  <c r="G27" i="13" s="1"/>
  <c r="W102" i="12"/>
  <c r="G101" i="13" s="1"/>
  <c r="W138" i="12"/>
  <c r="G137" i="13" s="1"/>
  <c r="W184" i="12"/>
  <c r="G183" i="13" s="1"/>
  <c r="W189" i="12"/>
  <c r="G188" i="13" s="1"/>
  <c r="W59" i="12"/>
  <c r="G58" i="13" s="1"/>
  <c r="W24" i="12"/>
  <c r="X24" i="12" s="1"/>
  <c r="F149" i="3"/>
  <c r="F148" i="3"/>
  <c r="F152" i="3"/>
  <c r="K152" i="3"/>
  <c r="K149" i="3"/>
  <c r="K148" i="3"/>
  <c r="X71" i="12"/>
  <c r="G70" i="13"/>
  <c r="G151" i="13"/>
  <c r="G179" i="13"/>
  <c r="W136" i="12"/>
  <c r="W110" i="12"/>
  <c r="W145" i="12"/>
  <c r="W139" i="12"/>
  <c r="W81" i="12"/>
  <c r="G57" i="13"/>
  <c r="X58" i="12"/>
  <c r="W101" i="12"/>
  <c r="W151" i="12"/>
  <c r="W123" i="12"/>
  <c r="W185" i="12"/>
  <c r="W63" i="12"/>
  <c r="W26" i="12"/>
  <c r="W13" i="12"/>
  <c r="W15" i="12"/>
  <c r="W36" i="12"/>
  <c r="W137" i="12"/>
  <c r="W186" i="12"/>
  <c r="W174" i="12"/>
  <c r="W65" i="12"/>
  <c r="W176" i="12"/>
  <c r="W127" i="12"/>
  <c r="W188" i="12"/>
  <c r="W181" i="12"/>
  <c r="W37" i="12"/>
  <c r="W79" i="12"/>
  <c r="W50" i="12"/>
  <c r="W64" i="12"/>
  <c r="W29" i="12"/>
  <c r="W77" i="12"/>
  <c r="W103" i="12"/>
  <c r="W60" i="12"/>
  <c r="G43" i="13"/>
  <c r="X44" i="12"/>
  <c r="X166" i="12"/>
  <c r="G165" i="13"/>
  <c r="W128" i="12"/>
  <c r="W66" i="12"/>
  <c r="W96" i="12"/>
  <c r="W74" i="12"/>
  <c r="G178" i="13"/>
  <c r="X179" i="12"/>
  <c r="W95" i="12"/>
  <c r="W85" i="12"/>
  <c r="W148" i="12"/>
  <c r="W162" i="12"/>
  <c r="W154" i="12"/>
  <c r="W124" i="12"/>
  <c r="W114" i="12"/>
  <c r="G31" i="13"/>
  <c r="X32" i="12"/>
  <c r="W132" i="12"/>
  <c r="W141" i="12"/>
  <c r="G33" i="13"/>
  <c r="W133" i="12"/>
  <c r="W70" i="12"/>
  <c r="W67" i="12"/>
  <c r="W149" i="12"/>
  <c r="W91" i="12"/>
  <c r="W153" i="12"/>
  <c r="W170" i="12"/>
  <c r="W143" i="12"/>
  <c r="G85" i="13"/>
  <c r="G169" i="3"/>
  <c r="G171" i="3"/>
  <c r="G103" i="13"/>
  <c r="X104" i="12"/>
  <c r="G67" i="13"/>
  <c r="X68" i="12"/>
  <c r="W172" i="12"/>
  <c r="W135" i="12"/>
  <c r="W75" i="12"/>
  <c r="W116" i="12"/>
  <c r="W155" i="12"/>
  <c r="W84" i="12"/>
  <c r="W147" i="12"/>
  <c r="W69" i="12"/>
  <c r="W99" i="12"/>
  <c r="W173" i="12"/>
  <c r="W10" i="12"/>
  <c r="W93" i="12"/>
  <c r="W177" i="12"/>
  <c r="W18" i="12"/>
  <c r="W130" i="12"/>
  <c r="W150" i="12"/>
  <c r="W131" i="12"/>
  <c r="W105" i="12"/>
  <c r="W72" i="12"/>
  <c r="G11" i="13"/>
  <c r="E157" i="3"/>
  <c r="E159" i="3" s="1"/>
  <c r="W109" i="12"/>
  <c r="W146" i="12"/>
  <c r="W142" i="12"/>
  <c r="W82" i="12"/>
  <c r="W20" i="12"/>
  <c r="W88" i="12"/>
  <c r="W167" i="12"/>
  <c r="W169" i="12"/>
  <c r="W23" i="12"/>
  <c r="W97" i="12"/>
  <c r="G44" i="13"/>
  <c r="X45" i="12"/>
  <c r="G55" i="13"/>
  <c r="X56" i="12"/>
  <c r="G60" i="13"/>
  <c r="X61" i="12"/>
  <c r="X122" i="12"/>
  <c r="H169" i="3"/>
  <c r="H171" i="3"/>
  <c r="W125" i="12"/>
  <c r="W92" i="12"/>
  <c r="W78" i="12"/>
  <c r="W80" i="12"/>
  <c r="G156" i="13"/>
  <c r="X90" i="12"/>
  <c r="W171" i="12"/>
  <c r="W187" i="12"/>
  <c r="W156" i="12"/>
  <c r="W120" i="12"/>
  <c r="W115" i="12"/>
  <c r="W57" i="12"/>
  <c r="W31" i="12"/>
  <c r="W183" i="12"/>
  <c r="W33" i="12"/>
  <c r="G75" i="13"/>
  <c r="W52" i="12"/>
  <c r="G106" i="13"/>
  <c r="X107" i="12"/>
  <c r="W39" i="12"/>
  <c r="W49" i="12"/>
  <c r="G117" i="13"/>
  <c r="W62" i="12" l="1"/>
  <c r="W16" i="12"/>
  <c r="X16" i="12" s="1"/>
  <c r="W30" i="12"/>
  <c r="X140" i="12"/>
  <c r="X160" i="12"/>
  <c r="X42" i="12"/>
  <c r="X73" i="12"/>
  <c r="X158" i="12"/>
  <c r="W161" i="12"/>
  <c r="W98" i="12"/>
  <c r="W164" i="12"/>
  <c r="G163" i="13" s="1"/>
  <c r="W134" i="12"/>
  <c r="G107" i="13"/>
  <c r="X129" i="12"/>
  <c r="X83" i="12"/>
  <c r="X28" i="12"/>
  <c r="X144" i="12"/>
  <c r="X19" i="12"/>
  <c r="W113" i="12"/>
  <c r="X51" i="12"/>
  <c r="X164" i="12"/>
  <c r="X138" i="12"/>
  <c r="X87" i="12"/>
  <c r="W126" i="12"/>
  <c r="X126" i="12" s="1"/>
  <c r="G52" i="13"/>
  <c r="X89" i="12"/>
  <c r="X159" i="12"/>
  <c r="X14" i="12"/>
  <c r="X111" i="12"/>
  <c r="X175" i="12"/>
  <c r="X38" i="12"/>
  <c r="X102" i="12"/>
  <c r="X43" i="12"/>
  <c r="X48" i="12"/>
  <c r="X7" i="12"/>
  <c r="W94" i="12"/>
  <c r="G93" i="13" s="1"/>
  <c r="E189" i="13"/>
  <c r="G192" i="13" s="1"/>
  <c r="X165" i="12"/>
  <c r="X22" i="12"/>
  <c r="X21" i="12"/>
  <c r="X182" i="12"/>
  <c r="X121" i="12"/>
  <c r="F5" i="13"/>
  <c r="J169" i="3"/>
  <c r="G23" i="13"/>
  <c r="X9" i="12"/>
  <c r="G40" i="13"/>
  <c r="X25" i="12"/>
  <c r="W8" i="12"/>
  <c r="X40" i="12"/>
  <c r="X189" i="12"/>
  <c r="G105" i="13"/>
  <c r="X46" i="12"/>
  <c r="W178" i="12"/>
  <c r="X178" i="12" s="1"/>
  <c r="X100" i="12"/>
  <c r="X55" i="12"/>
  <c r="X35" i="12"/>
  <c r="X112" i="12"/>
  <c r="X47" i="12"/>
  <c r="X17" i="12"/>
  <c r="W117" i="12"/>
  <c r="X117" i="12" s="1"/>
  <c r="X27" i="12"/>
  <c r="G53" i="13"/>
  <c r="X11" i="12"/>
  <c r="X119" i="12"/>
  <c r="X168" i="12"/>
  <c r="F162" i="13"/>
  <c r="W163" i="12"/>
  <c r="X59" i="12"/>
  <c r="X184" i="12"/>
  <c r="V190" i="12"/>
  <c r="G129" i="13"/>
  <c r="X130" i="12"/>
  <c r="G32" i="13"/>
  <c r="X33" i="12"/>
  <c r="G96" i="13"/>
  <c r="X97" i="12"/>
  <c r="G119" i="13"/>
  <c r="X120" i="12"/>
  <c r="G79" i="13"/>
  <c r="X80" i="12"/>
  <c r="G87" i="13"/>
  <c r="X88" i="12"/>
  <c r="G29" i="13"/>
  <c r="X30" i="12"/>
  <c r="G104" i="13"/>
  <c r="X105" i="12"/>
  <c r="G148" i="13"/>
  <c r="X149" i="12"/>
  <c r="G140" i="13"/>
  <c r="X141" i="12"/>
  <c r="G147" i="13"/>
  <c r="X148" i="12"/>
  <c r="G28" i="13"/>
  <c r="X29" i="12"/>
  <c r="G126" i="13"/>
  <c r="X127" i="12"/>
  <c r="G150" i="13"/>
  <c r="X151" i="12"/>
  <c r="G51" i="13"/>
  <c r="X52" i="12"/>
  <c r="G155" i="13"/>
  <c r="X156" i="12"/>
  <c r="G77" i="13"/>
  <c r="X78" i="12"/>
  <c r="G19" i="13"/>
  <c r="X20" i="12"/>
  <c r="G97" i="13"/>
  <c r="X98" i="12"/>
  <c r="G130" i="13"/>
  <c r="X131" i="12"/>
  <c r="G98" i="13"/>
  <c r="X99" i="12"/>
  <c r="G74" i="13"/>
  <c r="X75" i="12"/>
  <c r="G66" i="13"/>
  <c r="X67" i="12"/>
  <c r="G131" i="13"/>
  <c r="X132" i="12"/>
  <c r="G84" i="13"/>
  <c r="X85" i="12"/>
  <c r="G63" i="13"/>
  <c r="X64" i="12"/>
  <c r="X176" i="12"/>
  <c r="G175" i="13"/>
  <c r="G14" i="13"/>
  <c r="X15" i="12"/>
  <c r="G100" i="13"/>
  <c r="X101" i="12"/>
  <c r="G170" i="13"/>
  <c r="X171" i="12"/>
  <c r="G141" i="13"/>
  <c r="X142" i="12"/>
  <c r="G146" i="13"/>
  <c r="X147" i="12"/>
  <c r="G172" i="13"/>
  <c r="X173" i="12"/>
  <c r="G186" i="13"/>
  <c r="X187" i="12"/>
  <c r="G91" i="13"/>
  <c r="X92" i="12"/>
  <c r="G81" i="13"/>
  <c r="X82" i="12"/>
  <c r="E169" i="3"/>
  <c r="E171" i="3"/>
  <c r="X150" i="12"/>
  <c r="G149" i="13"/>
  <c r="G68" i="13"/>
  <c r="X69" i="12"/>
  <c r="G134" i="13"/>
  <c r="X135" i="12"/>
  <c r="G152" i="13"/>
  <c r="X153" i="12"/>
  <c r="G69" i="13"/>
  <c r="X70" i="12"/>
  <c r="G94" i="13"/>
  <c r="X95" i="12"/>
  <c r="G95" i="13"/>
  <c r="X96" i="12"/>
  <c r="G49" i="13"/>
  <c r="X50" i="12"/>
  <c r="G64" i="13"/>
  <c r="X65" i="12"/>
  <c r="G133" i="13"/>
  <c r="X134" i="12"/>
  <c r="G109" i="13"/>
  <c r="X110" i="12"/>
  <c r="K157" i="3"/>
  <c r="K159" i="3" s="1"/>
  <c r="G124" i="13"/>
  <c r="X125" i="12"/>
  <c r="X174" i="12"/>
  <c r="G173" i="13"/>
  <c r="G145" i="13"/>
  <c r="X146" i="12"/>
  <c r="G17" i="13"/>
  <c r="X18" i="12"/>
  <c r="G83" i="13"/>
  <c r="X84" i="12"/>
  <c r="G113" i="13"/>
  <c r="X114" i="12"/>
  <c r="G160" i="13"/>
  <c r="X161" i="12"/>
  <c r="G56" i="13"/>
  <c r="X57" i="12"/>
  <c r="G22" i="13"/>
  <c r="X23" i="12"/>
  <c r="G71" i="13"/>
  <c r="X72" i="12"/>
  <c r="G176" i="13"/>
  <c r="X177" i="12"/>
  <c r="G154" i="13"/>
  <c r="X155" i="12"/>
  <c r="G169" i="13"/>
  <c r="X170" i="12"/>
  <c r="G90" i="13"/>
  <c r="X91" i="12"/>
  <c r="G123" i="13"/>
  <c r="X124" i="12"/>
  <c r="G59" i="13"/>
  <c r="X60" i="12"/>
  <c r="G36" i="13"/>
  <c r="X37" i="12"/>
  <c r="X137" i="12"/>
  <c r="G136" i="13"/>
  <c r="G62" i="13"/>
  <c r="X63" i="12"/>
  <c r="G138" i="13"/>
  <c r="X139" i="12"/>
  <c r="G171" i="13"/>
  <c r="X172" i="12"/>
  <c r="G122" i="13"/>
  <c r="X123" i="12"/>
  <c r="G30" i="13"/>
  <c r="X31" i="12"/>
  <c r="G127" i="13"/>
  <c r="X128" i="12"/>
  <c r="G78" i="13"/>
  <c r="X79" i="12"/>
  <c r="G185" i="13"/>
  <c r="X186" i="12"/>
  <c r="G80" i="13"/>
  <c r="X81" i="12"/>
  <c r="X94" i="12"/>
  <c r="G38" i="13"/>
  <c r="X39" i="12"/>
  <c r="G115" i="13"/>
  <c r="X116" i="12"/>
  <c r="G180" i="13"/>
  <c r="X181" i="12"/>
  <c r="G35" i="13"/>
  <c r="X36" i="12"/>
  <c r="X185" i="12"/>
  <c r="G184" i="13"/>
  <c r="F157" i="3"/>
  <c r="F159" i="3" s="1"/>
  <c r="G132" i="13"/>
  <c r="X133" i="12"/>
  <c r="G65" i="13"/>
  <c r="X66" i="12"/>
  <c r="G61" i="13"/>
  <c r="X62" i="12"/>
  <c r="G12" i="13"/>
  <c r="X13" i="12"/>
  <c r="G142" i="13"/>
  <c r="X143" i="12"/>
  <c r="G25" i="13"/>
  <c r="X26" i="12"/>
  <c r="G48" i="13"/>
  <c r="X49" i="12"/>
  <c r="G5" i="13"/>
  <c r="X6" i="12"/>
  <c r="G168" i="13"/>
  <c r="X169" i="12"/>
  <c r="G92" i="13"/>
  <c r="X93" i="12"/>
  <c r="G153" i="13"/>
  <c r="X154" i="12"/>
  <c r="G102" i="13"/>
  <c r="X103" i="12"/>
  <c r="G182" i="13"/>
  <c r="X183" i="12"/>
  <c r="G114" i="13"/>
  <c r="X115" i="12"/>
  <c r="G166" i="13"/>
  <c r="X167" i="12"/>
  <c r="G108" i="13"/>
  <c r="X109" i="12"/>
  <c r="G9" i="13"/>
  <c r="X10" i="12"/>
  <c r="G161" i="13"/>
  <c r="X162" i="12"/>
  <c r="G73" i="13"/>
  <c r="X74" i="12"/>
  <c r="G76" i="13"/>
  <c r="X77" i="12"/>
  <c r="G187" i="13"/>
  <c r="X188" i="12"/>
  <c r="G112" i="13"/>
  <c r="X113" i="12"/>
  <c r="G144" i="13"/>
  <c r="X145" i="12"/>
  <c r="G135" i="13"/>
  <c r="X136" i="12"/>
  <c r="F189" i="13" l="1"/>
  <c r="G193" i="13" s="1"/>
  <c r="G15" i="13"/>
  <c r="G116" i="13"/>
  <c r="G177" i="13"/>
  <c r="G125" i="13"/>
  <c r="G7" i="13"/>
  <c r="X8" i="12"/>
  <c r="W190" i="12"/>
  <c r="G162" i="13"/>
  <c r="X163" i="12"/>
  <c r="F169" i="3"/>
  <c r="F171" i="3"/>
  <c r="K169" i="3"/>
  <c r="K171" i="3"/>
  <c r="L9" i="6" s="1" a="1"/>
  <c r="X190" i="12" l="1"/>
  <c r="G189" i="13"/>
  <c r="G195" i="13" s="1"/>
  <c r="K9" i="6" a="1"/>
  <c r="K13" i="6" s="1"/>
  <c r="L12" i="6"/>
  <c r="M12" i="6" s="1"/>
  <c r="L11" i="6"/>
  <c r="M11" i="6" s="1"/>
  <c r="L10" i="6"/>
  <c r="M10" i="6" s="1"/>
  <c r="L15" i="6"/>
  <c r="M15" i="6" s="1"/>
  <c r="L14" i="6"/>
  <c r="M14" i="6" s="1"/>
  <c r="L16" i="6"/>
  <c r="M16" i="6" s="1"/>
  <c r="L13" i="6"/>
  <c r="M13" i="6" s="1"/>
  <c r="L9" i="6"/>
  <c r="M9" i="6" s="1"/>
  <c r="G194" i="13" l="1"/>
  <c r="M17" i="6"/>
  <c r="P17" i="6" s="1"/>
  <c r="P18" i="6" s="1"/>
  <c r="K16" i="6"/>
  <c r="K9" i="6"/>
  <c r="K14" i="6"/>
  <c r="K15" i="6"/>
  <c r="K12" i="6"/>
  <c r="K10" i="6"/>
  <c r="K11" i="6"/>
  <c r="M18" i="6" l="1"/>
  <c r="M19" i="6" s="1"/>
  <c r="M20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C62" authorId="0" shapeId="0" xr:uid="{00000000-0006-0000-0100-000001000000}">
      <text>
        <r>
          <rPr>
            <sz val="10"/>
            <rFont val="Arial"/>
            <family val="2"/>
          </rPr>
          <t>Flaviana Paim:
Caso o contrato seja firmado para 30 meses sugiro alterar fórmula de cálculo para: 
(((1/12)*5%)+((3/30/12*5%))+((3/30/12*5%)))
Vai dar 0,50%. Como trata-se de um custo que será pago linearmente sobre 30 meses, você está considerando a probabilidade de 5%  de alguém ser demitido em cada ano de execução (taxa de rotatividade), sendo que se a demissão ocorrer no 1º ano o empregado receberia 30 d, ocorrendo no segundo receberia 33, e ocorrendo no 3º ano receberia 36 dias. Equivale a considerar 0,42%+ 10% de 0,42%+ 10% de 0,42%. O mesmo que a empresa receberia se fosse contrato continuado de 12 meses com prorrogação.</t>
        </r>
      </text>
    </comment>
    <comment ref="C64" authorId="0" shapeId="0" xr:uid="{00000000-0006-0000-0100-000002000000}">
      <text>
        <r>
          <rPr>
            <sz val="10"/>
            <rFont val="Arial"/>
            <family val="2"/>
          </rPr>
          <t xml:space="preserve">Flaviana Paim:
Item considerado não renovável. Deve ser avaliado ocorrências para retirada dos  1,94% por ocasião da prorrogação contratual. </t>
        </r>
      </text>
    </comment>
    <comment ref="C80" authorId="0" shapeId="0" xr:uid="{00000000-0006-0000-0100-000003000000}">
      <text>
        <r>
          <rPr>
            <sz val="10"/>
            <rFont val="Arial"/>
            <family val="2"/>
          </rPr>
          <t xml:space="preserve">Flaviana Paim:
O custo de substituição nas férias é um custo que só ocorre após 12 meses de contrato.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S3" authorId="0" shapeId="0" xr:uid="{00000000-0006-0000-0900-000001000000}">
      <text>
        <r>
          <rPr>
            <sz val="10"/>
            <rFont val="Arial"/>
            <family val="2"/>
          </rPr>
          <t xml:space="preserve">Flaviana Paim:
Pag 73: Considera material, saneantes domissanitários e equipamentos um coeficiente de 12% em relação ao custo da MO e um residual de 88% o que acarreta num valor fixo por posto que é relacionado ao total do preço do posto de trabalho. </t>
        </r>
      </text>
    </comment>
    <comment ref="W3" authorId="0" shapeId="0" xr:uid="{00000000-0006-0000-0900-000002000000}">
      <text>
        <r>
          <rPr>
            <sz val="10"/>
            <rFont val="Arial"/>
            <family val="2"/>
          </rPr>
          <t xml:space="preserve">Flaviana Paim:
Removendo os 10% menos e 10% maiores valores, o que mionimiza impacto de outliers. </t>
        </r>
      </text>
    </comment>
  </commentList>
</comments>
</file>

<file path=xl/sharedStrings.xml><?xml version="1.0" encoding="utf-8"?>
<sst xmlns="http://schemas.openxmlformats.org/spreadsheetml/2006/main" count="1347" uniqueCount="793">
  <si>
    <t>Lucro Real</t>
  </si>
  <si>
    <t>Simples Nacional</t>
  </si>
  <si>
    <t>Lucro Presumido</t>
  </si>
  <si>
    <t xml:space="preserve">PODER JUDICIÁRIO </t>
  </si>
  <si>
    <t>ANEXO I - COMPOSIÇÃO DO CUSTO MÁXIMO MENSAL</t>
  </si>
  <si>
    <t>TRIBUNAL DE JUSTIÇA DO ESTADO DO CEARÁ</t>
  </si>
  <si>
    <t>TABELA-RESUMO DA COMPOSIÇÃO DO CUSTO DA CONTRATAÇÃO</t>
  </si>
  <si>
    <t>Dias Úteis</t>
  </si>
  <si>
    <t>IND.</t>
  </si>
  <si>
    <t>CATEGORIA</t>
  </si>
  <si>
    <t>QUANT.</t>
  </si>
  <si>
    <t>C.H./MÊS</t>
  </si>
  <si>
    <t>CBO</t>
  </si>
  <si>
    <t>M1 - REMUNERAÇÃO</t>
  </si>
  <si>
    <t>M2 - ENCARGOS 
SOCIAIS E BENEFÍCIOS</t>
  </si>
  <si>
    <t>M3 - RESCISÃO</t>
  </si>
  <si>
    <t>M4 - CUSTO DE REPOSIÇÃO (SUBSTITUTOS)</t>
  </si>
  <si>
    <t>M5 - UNIFORMES, MATERIAIS E EQUIPAMENTOS</t>
  </si>
  <si>
    <t>M6 - CUSTOS INDIRETOS, TRIBUTOS E LUCRO</t>
  </si>
  <si>
    <t>CUSTO UNITÁRIO</t>
  </si>
  <si>
    <t>SUBTOTAL</t>
  </si>
  <si>
    <t>F1</t>
  </si>
  <si>
    <t>F2</t>
  </si>
  <si>
    <t>F3</t>
  </si>
  <si>
    <t>F4</t>
  </si>
  <si>
    <t>F5</t>
  </si>
  <si>
    <t>F6</t>
  </si>
  <si>
    <t>F7</t>
  </si>
  <si>
    <t>F8</t>
  </si>
  <si>
    <t>TOTAL DE POSTOS</t>
  </si>
  <si>
    <t>CUSTO TOTAL MENSAL DA MÃO DE OBRA (A)</t>
  </si>
  <si>
    <t>PROVISIONAMENTO MENSAL  (B = 2,00% DE "A")</t>
  </si>
  <si>
    <t>CUSTO MENSAL TOTAL (C = A+B)</t>
  </si>
  <si>
    <t>CUSTO PARA 24 MESES (C*24)</t>
  </si>
  <si>
    <t xml:space="preserve">Composição para cálculos: </t>
  </si>
  <si>
    <t>A</t>
  </si>
  <si>
    <t>Dias na Semana</t>
  </si>
  <si>
    <t>B</t>
  </si>
  <si>
    <t>Dias no Ano</t>
  </si>
  <si>
    <t>C</t>
  </si>
  <si>
    <t>Dias no Mês</t>
  </si>
  <si>
    <t>D</t>
  </si>
  <si>
    <t>Semanas no Mês</t>
  </si>
  <si>
    <t>ANEXO II- DEMONSTRATIVO DE ENCARGOS SOCIAIS E TRIBUTOS NA COMPOSIÇÃO DO CUSTO MENSAL</t>
  </si>
  <si>
    <t>E</t>
  </si>
  <si>
    <t>Semanas no Ano</t>
  </si>
  <si>
    <t>F</t>
  </si>
  <si>
    <t xml:space="preserve">Meses no Ano </t>
  </si>
  <si>
    <t>G</t>
  </si>
  <si>
    <t>Hora Normal (em minutos)</t>
  </si>
  <si>
    <t>H</t>
  </si>
  <si>
    <t>Hora Noturna (em minutos)</t>
  </si>
  <si>
    <t>MÓDULO 1: COMPOSIÇÃO DA REMUNERAÇÃO</t>
  </si>
  <si>
    <t xml:space="preserve">Salário Base Mensal </t>
  </si>
  <si>
    <t>Salários definidos com base em pesquisa no mercado de trabalho.</t>
  </si>
  <si>
    <t>Artigo 457 e 458 da CLT.</t>
  </si>
  <si>
    <t>Salário mensal definido em acordo, dissídio ou convenção coletiva de trabalho no momento da publicação do edital; quando houver necessidade de afastar o risco de selecionar colaboradores com capacitação inferior à necessária para a execução dos serviços, por meio de pesquisas de mercado, de dados obtidos junto a associações e sindicatos de cada categoria profissional e de informações divulgadas por outros órgãos públicos que tenham recentemente contratado o mesmo tipo de serviço. De acordo com o TCU, a fixação de remuneração mínima no edital somente é cabível, com restrições,  nos casos de terceirização de mão de obra com alocação de postos de trabalho. Importante ainda que, como a planilha de custos é baseada em empregados mensalistas, consideram-se já remunerados os dias de repouso semanal no salário mensal nos termos do § 2º do art. 7º da Lei 605/1949.</t>
  </si>
  <si>
    <t xml:space="preserve">Adicional Periculosidade </t>
  </si>
  <si>
    <t>NÃO SE APLICA.</t>
  </si>
  <si>
    <t>Súmula 132 TST. Artigo 193 a 197 da CLT. Artigo 7º, inciso XXIII da CF. NR 16 do MTE.</t>
  </si>
  <si>
    <t>O percentual definido pelo art. 193 da CLT, deve ser calculados sobre salário base  sem os acréscimos resultantes de gratificações, prêmios ou participações nos lucros da empresa, com exceção à categoria dos eletricitários, em que o cálculo deverá ser feito sobre a totalidade das parcelas de natureza salarial.  A caracterização e a classificação da periculosidade far-se-ão por meio de perícia a cargo de Médico do Trabalho ou Engenheiro do Trabalho registrados no Ministério do Trabalho. A Norma Regulamentadora nº 16 estabelece em seus anexos as atividades e as operações perigosas que acarretam ao recebimento do adicional de periculosidade pelo empregado. As Leis Lei nºs 12.740/2012 e 12.997/2014 estenderam o adicional de periculosidade, respectivamente, às atividades profissionais de segurança pessoal ou patrimonial e trabalhador em motocicleta.</t>
  </si>
  <si>
    <t xml:space="preserve">Adicional Insalubridade </t>
  </si>
  <si>
    <t>Valor correspondente ao grau máximo de 40%, incidente sobre o salário mínimo vigente, conforme artigo 192 da CLT. O pagamento dependerá de comprovação mediante laudo elaborado por profissional competente, a ser apresentado pela CONTRATADA no prazo de até 30 dias corridos da assinatura do contrato.</t>
  </si>
  <si>
    <t>Regras do instrumento coletivo da categoria, se houver. Artigo 189 a 192 da CLT (10%, 20% ou 40%). NR 15 do MTE. Súmula nº. 139 do TST.</t>
  </si>
  <si>
    <t xml:space="preserve"> Os percentuais definidos pelo art. 192 da CLT, segundo as classificações nos graus máximo, médio e mínimo, devem ser calculados com base no salário mínimo, salvo critério mais vantajoso estabelecido em lei ou em instrumento coletivo de trabalho (Súmula Vinculante n. 4). O direito ao recebimento do adicional somente pode ser reconhecido mediante laudo pericial que aponte estar a atividade insalubre prevista na relação oficial elaborada pelo Ministério do Trabalho, tal como definido pela NR-15 da Portaria n. 3.214 de 1978. </t>
  </si>
  <si>
    <t xml:space="preserve">Adicional Noturno </t>
  </si>
  <si>
    <t>Artigo 73 da CLT e artigo 7º, inciso IX da CF. Súmula nº 60 do TST e OJ-SDI1-259 do TST.</t>
  </si>
  <si>
    <t xml:space="preserve">A jornada noturna é compreendida entre 22h da noite e 05h da manhã seguinte (considerando que a hora noturna corresponde a 52,5min) , com remuneração adicional de 20%, de acordo com  o Art.73 da CLT. </t>
  </si>
  <si>
    <t>Adicional de Hora Noturna Reduzida</t>
  </si>
  <si>
    <t>Reflexo Adic Not e Hora Not Reduz sobre Descanso Semanal Remunerado</t>
  </si>
  <si>
    <t>Artigos 1º e 6º Lei nº 605/1949</t>
  </si>
  <si>
    <t>Pagamento de 20% sobre as variáveis, conforme Cláusula 38ª da CCT 2023.</t>
  </si>
  <si>
    <t>Outras remunerações  (especificar)</t>
  </si>
  <si>
    <t>MÓDULO 2 - ENCARGOS E BENEFÍCIOS ANUAIS, MENSAIS E DIÁRIOS</t>
  </si>
  <si>
    <t>SUBMÓDULO 2.1 - 13º Salário, Férias e Adicional de Férias</t>
  </si>
  <si>
    <t>LP</t>
  </si>
  <si>
    <t xml:space="preserve">LR </t>
  </si>
  <si>
    <t xml:space="preserve">SIMPLES NACIONAL </t>
  </si>
  <si>
    <t>13º salário</t>
  </si>
  <si>
    <t>((1÷12) x 100) ≅ 8,33%</t>
  </si>
  <si>
    <t>Art. 7º, VIII, CF/88. Decreto n. 57.155, de 3/11/1965</t>
  </si>
  <si>
    <t>Gratificação de Natal, instituída pela Lei nº 4.090, de 13 de julho de 1962. O percentual dessa rubrica pode ser obtido pelo cálculo: ((1/12) x 100) = 8,33%.</t>
  </si>
  <si>
    <t xml:space="preserve">Férias e Adicional de Férias </t>
  </si>
  <si>
    <t>( (1÷12) + (1÷12÷3) x 100) ≅ 11,11%</t>
  </si>
  <si>
    <t xml:space="preserve">Art. 7º, XVII, CF/88; </t>
  </si>
  <si>
    <t xml:space="preserve">A Constituição Federal, em seu art. 7º, inciso XVII, prevê que as férias sejam pagas com adicional de, pelo menos, 1/3 (um terço) da remuneração do mês. </t>
  </si>
  <si>
    <t>Incidência no Submódulo 2.2 sobre 13º salário e Férias</t>
  </si>
  <si>
    <t>((1÷12) x 100)  + ((1÷12) x 100) + ((1÷3) x (1÷12) x 100) x Submódulo 2.2</t>
  </si>
  <si>
    <t xml:space="preserve">SUBMÓDULO 2.2- Encargos Previdenciários (GPS) e FGTS </t>
  </si>
  <si>
    <t>INSS</t>
  </si>
  <si>
    <t>Art. 22, Inciso I, da Lei nº 8.212/91. (3) Lei 13.161/2015 - Contribuição Previdenciária sobre a Receita Bruta (CPRB)</t>
  </si>
  <si>
    <t>SESI OU SESC</t>
  </si>
  <si>
    <t>Anexo II da IN RFB n. 971/09; art. 30 da Lei n° 8.036/90; art. 1°da Lei n° 8.154/90; art. 240 da Constituição Federal.</t>
  </si>
  <si>
    <t>SENAI OU SENAC</t>
  </si>
  <si>
    <t>Anexo II da IN RFB n. 971/09; Decreto n.º 2.318/86</t>
  </si>
  <si>
    <t>INCRA</t>
  </si>
  <si>
    <t>Anexo II da IN RFB n. 971/09; Lei n.º 7.787/89; DL n.º 1.146/70; Lei Complementar nº 11/71.</t>
  </si>
  <si>
    <t>Salário educação</t>
  </si>
  <si>
    <t>Anexo II da IN RFB n. 971/09; art. 3°, inciso I do Decreto n° 87.043/1982; art. 15 – Lei nº 9.424/96; art. 1º § 1º - Decreto Nº 6.003/2006; art. 212 § 5º da Constituição Federal; Súmula Nº 732 do STF.</t>
  </si>
  <si>
    <t>FGTS</t>
  </si>
  <si>
    <t>Art. 15, Lei nº 8.036/90 e Art. 7º, III</t>
  </si>
  <si>
    <t xml:space="preserve">RAT x FAP </t>
  </si>
  <si>
    <t>Anexo V do Regulamento da Previdência Social – RPS (Decreto n. 3.048/1999) e regras de enquadramento dispostas na Instrução Normativa RFB n. 971/2009 e/ou legislação superveniente. Súmula 351 do STJ.</t>
  </si>
  <si>
    <t>GILL/RAT é a sigla correspondente à Contribuição do Grau de Incidência de Incapacidade Laborativa decorrente dos Riscos Ambientais do Trabalho (o antigo Seguro de Acidente de Trabalho - SAT). A contribuição GILL/RAT é apurada por meio de um indicador criado pela Receita Federal: o RAT Ajustado. Sendo assim, em regra, considera-se para fins de definição da planilha modelo que GILL/RAT = SAT = RAT Ajustado. O cálculo do RAT ajustado é feito mediante aplicação da fórmula: RAT ajustado = RAT x FAP. A aplicação mínima ou máxima do FAP (0,5 a 2,00) sobre as alíquotas do RAT (1% a 3%) levará o percentual ajustado do RAT a uma variação entre 0,5% a 6%. A licitante deve preencher o item G do Submódulo 2.2 das planilhas analíticas de custos e formação de preços com o valor de seu RAT ajustado comprovando o percentual indicado no momento da apresentação da proposta na forma prescrita no edital e nestas notas explicativas.
RAT (Riscos Ambientais do Trabalho) contém as alíquotas de 1%, 2% ou 3%, apurada com base na atividade preponderante da empresa (CNAE), deverá ser esclarecida e comprovada quando solicitado pelo pregoeiro, conforme Anexo V do Regulamento da Previdência Social – RPS (Decreto n. 3.048/1999) e regras de  enquadramento dispostas na Instrução Normativa RFB n. 971/2009 e/ou legislação superveniente.
FAP (Fator Acidentário de Prevenção) multiplicador variável num intervalo de 0,5 a 2,00 calculado anualmente pelo INSS considerando o número de acidentes do trabalho e doenças profissionais de cada empresa (Decreto nº 6.957/2009). Essa alíquota deverá ser comprovada mediante a apresentação do multiplicador FAP (FapWeb) vigente no momento da contratação, cujo valor é obtido no site da previdência social por meio de acesso individual da proponente.</t>
  </si>
  <si>
    <t>RAT</t>
  </si>
  <si>
    <t>FAP</t>
  </si>
  <si>
    <t>SEBRAE</t>
  </si>
  <si>
    <t>Anexo II da IN RFB n. 971/09. Art. 8º, Lei n.º 8.029/90 e Lei n.º 8154/90</t>
  </si>
  <si>
    <t>SUBMÓDULO 2.3 - Encargos e Benefícios Anuais, Mensais e Diários</t>
  </si>
  <si>
    <t xml:space="preserve">Auxílio Transporte                                                   </t>
  </si>
  <si>
    <t>(Valor da passagem  x Quantidade de passagens por dia por empregado x Quantidade de dias trabalhados) - (Participação do empregado no custo x Salário base). A licitante deverá apontar em sua composição de custos, por meio de atestado do poder público local, a existência e o valor da tarifa do transporte público.</t>
  </si>
  <si>
    <t>Considerando a ausência de disposição específica na convenção de trabalho, o desconto máximo é de 6,00%, nos termos do artigo 4º, § único, da Lei nº 7.418/85 e do art. 9º do Decreto nº 95.247/87.</t>
  </si>
  <si>
    <t xml:space="preserve">Auxílio-Refeição/Alimentação   </t>
  </si>
  <si>
    <t xml:space="preserve">(Valor do Auxílio-Alimentação  x Quantidade de dias do mês de recebimento de auxílio-alimentação) - (Valor do Auxílio-Alimentação  x Quantidade de dias do mês de recebimento de auxílio-alimentação x Participação do empregado no custo ) </t>
  </si>
  <si>
    <t>Artigo 458, §§ 2º e 3º, da CLT, Lei nº 6.321/76, Decreto nº 5/91 e CCT.</t>
  </si>
  <si>
    <t xml:space="preserve"> Deve ser observado o instrumento coletivo para a fixação do percentual de desconto do empregado.</t>
  </si>
  <si>
    <t xml:space="preserve">Assistência Médica e Familiar </t>
  </si>
  <si>
    <t>(Valor previsto em CCT/ACT x Participação do empregado no custo)</t>
  </si>
  <si>
    <t>Artigo 458, inciso IV da CLT e CCT</t>
  </si>
  <si>
    <t xml:space="preserve">Seguro de vida em grupo  </t>
  </si>
  <si>
    <t xml:space="preserve"> Deve ser observado o instrumento coletivo.</t>
  </si>
  <si>
    <t xml:space="preserve">Auxílio-Funeral    </t>
  </si>
  <si>
    <t xml:space="preserve">Valor previsto em CCT (CE000086/2025), correspondente a 3 (três) pisos salariais da categoria, na faixa que o empregado falecido estiver enquadrado, devendo ser ressarcido à Contratada por meio da provisão, mediante a devida comprovação da ocorrência do fato gerador. </t>
  </si>
  <si>
    <t xml:space="preserve">Cesta Básica  </t>
  </si>
  <si>
    <t>(Valor previsto em CCT/ACT)</t>
  </si>
  <si>
    <t xml:space="preserve">Plano de Benefício Social Familiar </t>
  </si>
  <si>
    <t>Auxílio Creche</t>
  </si>
  <si>
    <t>Valor previsto em CCT/ACT/TR</t>
  </si>
  <si>
    <t>Estimativa de 1,20%/mês/funcionário sobre o valor previsto na CCT (R$ 269,81), com base em contratações similares. As licitantes poderão cotar o percentual de acordo com a realidade de suas operações, mediante comprovação idônea.</t>
  </si>
  <si>
    <t>MÓDULO 3 - PROVISÃO PARA RESCISÃO</t>
  </si>
  <si>
    <t>Dados Estatísticos</t>
  </si>
  <si>
    <t>Funcionários demitidos sem justa causa / Total de desligamentos (em %)</t>
  </si>
  <si>
    <t>Multa do FGTS (em %)</t>
  </si>
  <si>
    <t>Empregados que recebem aviso prévio trabalhado durante o contrato (em %)</t>
  </si>
  <si>
    <t>Empregados que recebem aviso prévio trabalhadono final  do contrato (em %)</t>
  </si>
  <si>
    <t>Dias APT pagos</t>
  </si>
  <si>
    <t>PROVISÃO PARA RESCISÃO</t>
  </si>
  <si>
    <t>Aviso prévio indenizado</t>
  </si>
  <si>
    <t>((30÷30)÷12)X0,05 ≅ 0,42%</t>
  </si>
  <si>
    <t>Art. 7º, XXI, CF/88. Art. 477, 487 e 491 da CLT. Lei n. 12.506/2011.</t>
  </si>
  <si>
    <t>Trata-se de valor devido ao empregado no caso de o empregador rescindir o contrato sem justo motivo e sem lhe conceder aviso prévio, conforme disposto no § 1º do art. 487 da CLT. De acordo com levantamento efetuado em diversos contratos, cerca de 5% do pessoal é demitido pelo empregador, antes do término do contrato de trabalho. Cálculo ((1/12)x 0,05) x 100 ≅ 0,42%.</t>
  </si>
  <si>
    <t xml:space="preserve">Incidência do FGTS sobre Aviso Prévio indenizado </t>
  </si>
  <si>
    <t>(0,08 x 0,0042)  ≅ 0,03%</t>
  </si>
  <si>
    <t>Súmula 305 TST.</t>
  </si>
  <si>
    <t xml:space="preserve">Aviso prévio trabalhado  </t>
  </si>
  <si>
    <t>(7÷30)÷12) ≅ 1,94 %</t>
  </si>
  <si>
    <t xml:space="preserve">Art. 7º, XXI, CF/88, 477,487 e 491 CLT. Acórdãos n. 1904/2007-TCU-Plenário e n. 3006/2010-TCU-Plenário </t>
  </si>
  <si>
    <t>Considera-se que será pago ao final do contrato aviso prévio a 100% dos empregados alocados e que 2% do pessoal é demitido pelo empregador antes do final do contrato (acórdão TCU 6.777/2099 - 2ª Câmara). Assim sendo, há redução de 7 dias ou de 2h por dia {[(7/30)/12]* 0,02} + [(7/30)/12] ≅ 1,98 % para 30 dias de aviso prévio no primeiro ano. (7 dias custo do APT ÷ 30 Dias do mês÷ 12 meses) x indicador  demissões antes término contrato(2%) + (7 dias custo do APT ÷ 30 Dias do mês÷ 12 meses) x indicador  demissões antes término contrato(2%)</t>
  </si>
  <si>
    <t xml:space="preserve">Incidência dos encargos do submódulo 2.2 sobre item C  </t>
  </si>
  <si>
    <t>((0,3680 x 0,0194) x 100) ≅  0,71%</t>
  </si>
  <si>
    <t xml:space="preserve">Acórdãos n. 1904/2007-TCU-Plenário e n. 3006/2010-TCU-Plenário </t>
  </si>
  <si>
    <t xml:space="preserve">Multa sobre FGTS e contribuições sociais incidentes </t>
  </si>
  <si>
    <t>Total Remuneração (módulo 1) X 0,04</t>
  </si>
  <si>
    <t xml:space="preserve">Art. 12 da Lei 13.932/2019. Acórdãos n. 1904/2007-TCU-Plenário e n. 3006/2010-TCU-Plenário </t>
  </si>
  <si>
    <t>O custo do aviso prévio trabalhado é acrescido da multa do FGTS (40%) que incide sobre a alíquota do FGTS (8%) aplicada sobre o custo de referência para o aviso trabalhado.
 O art. 12 da Lei n. 13.932/2019 extiguiu a cobraça da contribuição de 10% devida pelos empregadores em caso de despedida sem justa causa (art. 1º da Lei Complementar 110/2001). Sendo assim, o adicional que era previsto nos itens "C" e "F" com o título "Multa do FGTS e contribuição social sobre Aviso Prévio [...]" passou a ser denominado somente de "Multa do FGTS sobre Aviso Prévio [..]"</t>
  </si>
  <si>
    <t>MÓDULO 4 - CUSTO DE REPOSIÇÃO DO PROFISSIONAL AUSENTE</t>
  </si>
  <si>
    <t>Dias de Ausências por Doença</t>
  </si>
  <si>
    <t>Dias de Licença-Paternidade</t>
  </si>
  <si>
    <t>Trabalhadores com direito a  Licença-Paternidade (%)</t>
  </si>
  <si>
    <t>Dias de Ausências Legais</t>
  </si>
  <si>
    <t>Dias pagos pela empresa em acidentes de trabalho</t>
  </si>
  <si>
    <t xml:space="preserve">% Licenças maternidade </t>
  </si>
  <si>
    <t xml:space="preserve">Custo   estimado do afastamento  maternidade </t>
  </si>
  <si>
    <t>(4 x 0,0401 x 0,46%)</t>
  </si>
  <si>
    <t xml:space="preserve">Submódulo 4.1 - Substituto nas Ausências Legais - Base de cálculo para o custo do profissional ausente (substituto): BCCPA = (Rem + 13º sal + Férias + 1/3)x Item Reposição . Conforme item 89 do Relatório do Acórdão TCU nº 1.753/2008 do Plenário e orientações SEGES/MP </t>
  </si>
  <si>
    <t xml:space="preserve">Substituto na cobertura de férias  </t>
  </si>
  <si>
    <t>(1/12/12+1/12/12/3+1/12/12)X100) ≅ 1,62%</t>
  </si>
  <si>
    <t>Art. 129 e 130 CLT.</t>
  </si>
  <si>
    <t>ACÓRDÃO 1753/2008 - PLENÁRIO - Caso o contrato preveja substituição do empregado em férias, para que o posto não fique descoberto a empresa deverá repor o profissional ausente por meio de profissional subtituto ao qual deverá retribuir com a mesma remuneração do titular. A estimativa do percentual dessa rubrica a ser aplicado sobre a remuneração mensal do titular pode ser obtido pelo cálculo: (8,33/12)+(8,33/12)+(1/3x(8,33/12)) ≅ 1,62%
Para fins de cálculo a base a ser utilizada é o total da remuneração para que não haja dupla incidência de férias. adicional de férias e décimo-terceiro.</t>
  </si>
  <si>
    <t xml:space="preserve">Substituto na cobertura das ausências por doença </t>
  </si>
  <si>
    <t>((5÷30) ÷12) x 100) ≅ 1,39%</t>
  </si>
  <si>
    <t>Art.131 , inciso III, da CLT. Art. 476 da CLT, art. 6º, §1º, alínea "f", da Lei n. 605, de 1949, e  art. 12, alínea "f", do Decreto n. 27.048, de 1949.</t>
  </si>
  <si>
    <t>ACÓRDÃO 6771/2009 - PRIMEIRA CÂMARA -  Estimativa de 5 (cinco) dias de licença por ano.</t>
  </si>
  <si>
    <t xml:space="preserve">Substituto na cobertura de licença paternidade </t>
  </si>
  <si>
    <t>(((5÷30) ÷12) x 0,015 x 100) ≅ 0,02%</t>
  </si>
  <si>
    <t>Art. 7º, inciso XIX da CF. §1º do artigo 10 do ADCT. Lei n. 13.527/2016</t>
  </si>
  <si>
    <t>ACÓRDÃO 6771/2009 - PRIMEIRA CÂMARA -  Estimativa de 1,5% (um inteiro e cinco décimos por cento) dos empregados usufruindo 5 (cinco) dias da licença por ano.</t>
  </si>
  <si>
    <t xml:space="preserve">Substituto na cobertura das ausências legais </t>
  </si>
  <si>
    <t>(((2,96÷30) ÷12) x 100) ≅ 0,82%</t>
  </si>
  <si>
    <t>Art. 82 e 473 da CLT</t>
  </si>
  <si>
    <t xml:space="preserve">ACÓRDÃO 1753/2008 - PLENÁRIO - Estimativa de 2,96 ausências por ano. </t>
  </si>
  <si>
    <t xml:space="preserve">Substituto na cobertura nas ausências por acidente de trabalho </t>
  </si>
  <si>
    <t>((5/30) ÷12) x 100) ≅ 1,39%</t>
  </si>
  <si>
    <t>Art. 27 do Dec. 89312/84, Art. 131 da CLT e MP. 664/2014</t>
  </si>
  <si>
    <t xml:space="preserve"> Estimativa de 5 dias de afastamento por ano em razão de doença aciodentária ou acidente do trabalho  ao ano.</t>
  </si>
  <si>
    <t xml:space="preserve">Substituto na cobertura de afastamento maternidade </t>
  </si>
  <si>
    <t>((1÷12)+((1÷3)x(1÷12)))x(4÷12)x0,01854033 ≅ 0,07%</t>
  </si>
  <si>
    <t>Art. 7º inc. XVIII, CF, Lei 8.213/91, art. 72 e Lei 11770/2008. Lei n. 13.527/2016.</t>
  </si>
  <si>
    <t>Tempo de licença mat (4m) x % licenças mat concedidas (4,01%) x % de mulheres empregadas (46%)</t>
  </si>
  <si>
    <t>Incidência dos encargos do submódulo 2.2</t>
  </si>
  <si>
    <t xml:space="preserve"> (A+B.+C+D+E+F) x submódulo 2.2</t>
  </si>
  <si>
    <t>SUBMÓDULO 4.2- Intervalo intrajornada</t>
  </si>
  <si>
    <t>Intervalo para repouso ou alimentação</t>
  </si>
  <si>
    <t>(Salário base+adicionais previstos em lei ou CCT, se houver) ÷ total nº horas trabalhadas) x 1,5 x quantidade de dias trabalhados</t>
  </si>
  <si>
    <t>Regras do instrumento coletivo da categoria, se houver (conforme incs. III e VIII do art. 611-A da CLT, o instrumento coletivo de trabalho tem prevalência sobre a lei). Artigo 71 da CLT. Lei 8.121/1991.</t>
  </si>
  <si>
    <t>Se não houver previsão de jantista/almocista e, assim, o empregado não usufruir de seu intervalo intrajornada em razão de trabalhar em período destinado a repouso e alimentação, o valor a ser pago é da hora trabalhada acrescida de 50%, considerada a natureza indenizatória da parcela.</t>
  </si>
  <si>
    <t>Rendição no Intervalo Intrajornada</t>
  </si>
  <si>
    <t xml:space="preserve">((Salário base+adicionais previstos em lei ou CCT, se houver)+ Submódulo 2.2 + submódulo 2.3 + Uniformes e EPI) x quantidade de dias trabalhados </t>
  </si>
  <si>
    <t>Esta rubrica somente será calculada se houver reposição por um substituto durante a ausência do empregado, no período de intervalo para repouso/alimentação. Para o cálculo dessa forma, o valor aportado será o correspondente ao período trabalhado no intervalo, com as incidências legais, por se tratar de salário pago ao substituto</t>
  </si>
  <si>
    <t>MÓDULO 6 - CUSTOS INDIRETOS, LUCRO E TRIBUTOS</t>
  </si>
  <si>
    <t>SUBMÓDULO 6.1 - Custos administrativos e lucros</t>
  </si>
  <si>
    <t>Custos administrativos</t>
  </si>
  <si>
    <t xml:space="preserve">Considerando os estudos realizados, o presente modelo utiliza o percentual máximo de 5,00% para custos indiretos. NOTA TÉCNICA Nº 1/2007 – SCI, da Secretaria de Controle Interno do Supremo Tribunal Federal </t>
  </si>
  <si>
    <t>Lucros</t>
  </si>
  <si>
    <t>Considerando os estudos realizados, o presente modelo utiliza o percentual máximo de 10,00% para margem de lucro. NOTA TÉCNICA Nº 1/2007 – SCI, da Secretaria de Controle Interno do Supremo Tribunal Federal.</t>
  </si>
  <si>
    <t>SUBMÓDULO 6.2 - Tributos</t>
  </si>
  <si>
    <t xml:space="preserve">LUCRO PRESUMIDO </t>
  </si>
  <si>
    <t xml:space="preserve">LUCRO REAL </t>
  </si>
  <si>
    <t xml:space="preserve">LP </t>
  </si>
  <si>
    <t>COFINS</t>
  </si>
  <si>
    <t>As empresas tributadas pelo regime de incidência não cumulativa de PIS e COFINS devem cotar os percentuais que apresentem a média das alíquotas efetivamente recolhidas nos 12 (doze) meses anteriores à apresentação da proposta, o que exige apresentação de planilhas demonstrativas de apuração dos percentuais médios de recolhimento do PIS e da COFINS. O cálculo dos percentuais médios de recolhimento de PIS e COFINS, efetivamente recolhidos nos últimos 12 (doze) meses anteriores à apresentação da proposta, deverá ser demonstrado nos termos das planilhas exemplificativas abaixo. Os dados de “faturamento mensal” e “crédito apurado/descontado” devem ser extraídos do documento Registros Fiscais – Consolidação das Operações por Código da Situação Tributária e do recibo de entrega de Escrituração Fiscal Digital – Contribuições.</t>
  </si>
  <si>
    <t>Os tributos (ISS, COFINS e PIS) foram definidos utilizando o regime de tributação de Lucro Presumido A licitante deve elaborar sua proposta e, por conseguinte, sua planilha com base no regime de tributação ao qual estará submetida durante a execução do contrato.</t>
  </si>
  <si>
    <t>PIS/PASEP</t>
  </si>
  <si>
    <t>ISSQN</t>
  </si>
  <si>
    <t>IBS</t>
  </si>
  <si>
    <t>Quando aplicável.</t>
  </si>
  <si>
    <t>Imposto sobre Bens e Serviços.</t>
  </si>
  <si>
    <t>CBS</t>
  </si>
  <si>
    <t>Contribuição sobre Bens e Serviços.</t>
  </si>
  <si>
    <t>CPRB</t>
  </si>
  <si>
    <t>Contribuição Previdenciária sobre a Receita Bruta.</t>
  </si>
  <si>
    <t>Outros</t>
  </si>
  <si>
    <t>MEMÓRIA DE CÁLCULO</t>
  </si>
  <si>
    <t>FUNDAMENTO</t>
  </si>
  <si>
    <t>OBSERVAÇÕES</t>
  </si>
  <si>
    <t xml:space="preserve">Regime tributário Simples Nacional_Cálculo automático pela alíquota limite da Faixa Tributária </t>
  </si>
  <si>
    <t xml:space="preserve">Simples Nacional </t>
  </si>
  <si>
    <t>Simples</t>
  </si>
  <si>
    <t>Considerado</t>
  </si>
  <si>
    <t>Faixa 1</t>
  </si>
  <si>
    <t>Faixa 2</t>
  </si>
  <si>
    <t>Faixa 3</t>
  </si>
  <si>
    <t>Faixa 4</t>
  </si>
  <si>
    <t>Faixa 5</t>
  </si>
  <si>
    <t>Faixa 6</t>
  </si>
  <si>
    <t>Faturamento máximo</t>
  </si>
  <si>
    <t>Valor a Deduzir</t>
  </si>
  <si>
    <t xml:space="preserve">Percentual da faixa </t>
  </si>
  <si>
    <t xml:space="preserve">PIS </t>
  </si>
  <si>
    <t>ISS</t>
  </si>
  <si>
    <t>ANEXO XVI PLANILHA DE CUSTOS E FORMAÇÃO DE PREÇOS - ATENDIMENTO</t>
  </si>
  <si>
    <t xml:space="preserve">PLANILHA DE CUSTOS E FORMAÇÃO DE PREÇOS  - CUSTO DOS  POSTOS DE TRABALHO </t>
  </si>
  <si>
    <t xml:space="preserve">Pregão Eletrônico nº: </t>
  </si>
  <si>
    <t>Processo SEI nº:</t>
  </si>
  <si>
    <t>Objeto:</t>
  </si>
  <si>
    <t>Contratação de pessoa jurídica para prestação de serviços contínuos de atendimento ao público, com dedicação exclusiva de mão de obra (DEMO).</t>
  </si>
  <si>
    <t xml:space="preserve">Data da proposta /formação do preço </t>
  </si>
  <si>
    <t>Tempo de Duração do Contrato:</t>
  </si>
  <si>
    <t>Pgto do Contrato:</t>
  </si>
  <si>
    <t>Mês</t>
  </si>
  <si>
    <t>Regime Tributário</t>
  </si>
  <si>
    <t>Receita Bruta Acumulada (optante simples Nacional)</t>
  </si>
  <si>
    <t>Salário Mínimo Nacional em 01/01/2026</t>
  </si>
  <si>
    <t xml:space="preserve">Sindicato Representativo da Categoria </t>
  </si>
  <si>
    <t>SEEACONCE  - CE000086/2025 e CE000025/2026 (aditivo)</t>
  </si>
  <si>
    <t xml:space="preserve">Tipo de Planilha </t>
  </si>
  <si>
    <t xml:space="preserve">PLANILHA REFERENCIAL DA  LICITAÇÃO  </t>
  </si>
  <si>
    <t>DADOS REFERENTES À CONTRATAÇÃO</t>
  </si>
  <si>
    <t xml:space="preserve">POSTOS DE TRABALHO </t>
  </si>
  <si>
    <t xml:space="preserve">FUNÇÃO DO POSTO </t>
  </si>
  <si>
    <t>OPERADOR DE RECEPÇÃO E TRIAGEM</t>
  </si>
  <si>
    <t>OPERADOR DE ATENDIMENTO</t>
  </si>
  <si>
    <t>OPERADOR DE ATENDIMENTO ESPECIALIZADO</t>
  </si>
  <si>
    <t>SUPERVISOR DE ATENDIMENTO</t>
  </si>
  <si>
    <t>COORDENADOR DE ATENDIMENTO</t>
  </si>
  <si>
    <t>ASSISTENTE DE GESTÃO DO ATENDENDIMENTO</t>
  </si>
  <si>
    <t>APOIO À GESTÃO DO ATENDIMENTO</t>
  </si>
  <si>
    <t>INTÉRPRETE DE LIBRAS</t>
  </si>
  <si>
    <t>,</t>
  </si>
  <si>
    <t xml:space="preserve">CARGA HORÁRIA </t>
  </si>
  <si>
    <t xml:space="preserve"> 2ª a 6ª </t>
  </si>
  <si>
    <t xml:space="preserve">2ª a 6ª </t>
  </si>
  <si>
    <t>Classificação Brasileira de Ocupações (CBO)</t>
  </si>
  <si>
    <t>4221-05</t>
  </si>
  <si>
    <t>4101-25</t>
  </si>
  <si>
    <t>4110-10</t>
  </si>
  <si>
    <t>2614-25</t>
  </si>
  <si>
    <t xml:space="preserve">Valor do piso salarial (pesquisa de mercado) </t>
  </si>
  <si>
    <t xml:space="preserve">Jornada de trabalho mensal (pesquisa de mercado) </t>
  </si>
  <si>
    <t>Data base da categoria</t>
  </si>
  <si>
    <t>Quantidade de funcionários (01 funcionário por posto)</t>
  </si>
  <si>
    <t>Pesquisa de mercado</t>
  </si>
  <si>
    <t xml:space="preserve">Salário-Base </t>
  </si>
  <si>
    <r>
      <rPr>
        <b/>
        <sz val="11"/>
        <color rgb="FF000000"/>
        <rFont val="Calibri"/>
      </rPr>
      <t xml:space="preserve">Adicional de Periculosidade </t>
    </r>
    <r>
      <rPr>
        <i/>
        <sz val="11"/>
        <color rgb="FFFF0000"/>
        <rFont val="Calibri"/>
      </rPr>
      <t>(Não se aplica)</t>
    </r>
  </si>
  <si>
    <t xml:space="preserve">Incidência </t>
  </si>
  <si>
    <t>Valor (R$)</t>
  </si>
  <si>
    <t>Adicional de Insalubridade</t>
  </si>
  <si>
    <t xml:space="preserve">Percentual de incidência </t>
  </si>
  <si>
    <r>
      <rPr>
        <b/>
        <sz val="11"/>
        <color rgb="FF000000"/>
        <rFont val="Calibri"/>
      </rPr>
      <t xml:space="preserve">Adicional de Acumulo de Função </t>
    </r>
    <r>
      <rPr>
        <i/>
        <sz val="11"/>
        <color rgb="FFFF0000"/>
        <rFont val="Calibri"/>
      </rPr>
      <t>(Não se aplica)</t>
    </r>
    <r>
      <rPr>
        <b/>
        <i/>
        <sz val="11"/>
        <color rgb="FFFF0000"/>
        <rFont val="Calibri"/>
      </rPr>
      <t xml:space="preserve">         </t>
    </r>
    <r>
      <rPr>
        <b/>
        <sz val="11"/>
        <color rgb="FF000000"/>
        <rFont val="Calibri"/>
      </rPr>
      <t xml:space="preserve">                           % Adicional definido</t>
    </r>
  </si>
  <si>
    <t>TOTAL MÓDULO 1</t>
  </si>
  <si>
    <t>TOTAL SUBMÓDULO 2.1</t>
  </si>
  <si>
    <t>SUBMÓDULO  2.2 - Encargos Previdenciários e FGTS e Outras Contribuições</t>
  </si>
  <si>
    <t>TOTAL SUBMÓDULO 2.2</t>
  </si>
  <si>
    <t xml:space="preserve">Vale - Transporte                                                   </t>
  </si>
  <si>
    <t>Valor da passagem do transporte coletivo</t>
  </si>
  <si>
    <t>Quantidade de passagens por dia</t>
  </si>
  <si>
    <t>Quantidade de dias do mês de recebimento</t>
  </si>
  <si>
    <t xml:space="preserve">Valor Bruto </t>
  </si>
  <si>
    <t xml:space="preserve">Participação do empregado no custo  </t>
  </si>
  <si>
    <t xml:space="preserve">Total do Desconto do VT-Participação do Empregado </t>
  </si>
  <si>
    <r>
      <t xml:space="preserve">Valor líquido do Vale -Transporte  </t>
    </r>
    <r>
      <rPr>
        <i/>
        <sz val="11"/>
        <color rgb="FFFF0000"/>
        <rFont val="Calibri"/>
        <family val="2"/>
      </rPr>
      <t xml:space="preserve"> (CCT CE000025/2026 - ADITIVO)</t>
    </r>
  </si>
  <si>
    <t xml:space="preserve">Valor do Auxílio-Alimentação   </t>
  </si>
  <si>
    <t>Quantidade de vales recebidos por funcionário</t>
  </si>
  <si>
    <t>Participação do empregado no custo (%)</t>
  </si>
  <si>
    <t xml:space="preserve">Total do Desconto do VA-Participação do Empregado </t>
  </si>
  <si>
    <t>Valor líquido do Vale-alimentação (CCT CE000025/2026 - ADITIVO)</t>
  </si>
  <si>
    <t xml:space="preserve">Auxílio Saúde (Plano de Saude e Conv. Odontológico) </t>
  </si>
  <si>
    <t xml:space="preserve">Participação da empresa </t>
  </si>
  <si>
    <t xml:space="preserve">Participação do  empregado </t>
  </si>
  <si>
    <t>Valor Aux Saúde  (CCT CE000025/2026)</t>
  </si>
  <si>
    <r>
      <t xml:space="preserve">Cesta Básica </t>
    </r>
    <r>
      <rPr>
        <i/>
        <sz val="11"/>
        <color rgb="FFFF0000"/>
        <rFont val="Calibri"/>
        <family val="2"/>
      </rPr>
      <t xml:space="preserve"> (CCT CE000025/2026 - ADITIVO)</t>
    </r>
  </si>
  <si>
    <t xml:space="preserve">E </t>
  </si>
  <si>
    <r>
      <rPr>
        <b/>
        <sz val="11"/>
        <color rgb="FF000000"/>
        <rFont val="Calibri"/>
      </rPr>
      <t xml:space="preserve">Auxílio Creche  </t>
    </r>
    <r>
      <rPr>
        <sz val="11"/>
        <color rgb="FFFF0000"/>
        <rFont val="Calibri"/>
      </rPr>
      <t>(</t>
    </r>
    <r>
      <rPr>
        <i/>
        <sz val="11"/>
        <color rgb="FFFF0000"/>
        <rFont val="Calibri"/>
      </rPr>
      <t>CCT CE000025/2026 - ADITIVO)</t>
    </r>
  </si>
  <si>
    <r>
      <rPr>
        <b/>
        <sz val="11"/>
        <color rgb="FF000000"/>
        <rFont val="Calibri"/>
      </rPr>
      <t xml:space="preserve">Seg de Vida, Invalidez, Auxílio Funeral  </t>
    </r>
    <r>
      <rPr>
        <i/>
        <sz val="11"/>
        <color rgb="FFFF0000"/>
        <rFont val="Calibri"/>
      </rPr>
      <t>(Não se aplica)</t>
    </r>
  </si>
  <si>
    <t>TOTAL SUBMÓDULO 2.3</t>
  </si>
  <si>
    <t>TOTAL MÓDULO 2</t>
  </si>
  <si>
    <t xml:space="preserve">BASE DE CÁLCULO PARA MÓDULO 3 </t>
  </si>
  <si>
    <t>MOD 1</t>
  </si>
  <si>
    <t>MOD 2.1-C</t>
  </si>
  <si>
    <t>MOD 2.1-B-C</t>
  </si>
  <si>
    <t>Aviso prévio indenizado (estima-se 5% de prestadores de serviços poderão ser demitidos com uso do API)</t>
  </si>
  <si>
    <t>Aviso prévio trabalhado  (estima-se que será pago ao final do contrato APT a 100% dos empregados dedicados)</t>
  </si>
  <si>
    <t>Incidência dos encargos do submódulo 2.2 sobre o aviso prévio trabalhado</t>
  </si>
  <si>
    <t>Multa sobre FGTS e contribuições sociais incidentes  (Sujeito a contingenciamento em Conta Dep. Vinculada)</t>
  </si>
  <si>
    <t>TOTAL MÓDULO 3</t>
  </si>
  <si>
    <t>BASE DE CÁLCULO PARA MÓDULO 4</t>
  </si>
  <si>
    <t>MOD 2.3-A-B</t>
  </si>
  <si>
    <t>MOD 3</t>
  </si>
  <si>
    <t xml:space="preserve">TOTAL </t>
  </si>
  <si>
    <t>SUBMÓDULO 4.1 - Substituto nas Ausências Legais
 BCCPA: Base de cálculo para o custo do profissional ausente</t>
  </si>
  <si>
    <t>Substituto na cobertura de férias  (sujeito a contingenciamento em Conta Dep. Vinculada)</t>
  </si>
  <si>
    <t>Substituto na cobertura das ausências por doença (estima-se 5 faltas no ano por motivo de doença)</t>
  </si>
  <si>
    <t>Substituto na cobertura de licença paternidade (estima-se que 1,5% dos empregados irão usufruir dos  5 (cinco) dias da licença por ano)</t>
  </si>
  <si>
    <t>Substituto na cobertura das ausências legais (estima-se 2,96 faltas justificadas ano)</t>
  </si>
  <si>
    <t>Substituto na cobertura nas ausências por acidente de trabalho (estima-se probabilidade de 0,78% de afastamentos por motivo de doença acidentária ou acidente de trabalho ao ano)</t>
  </si>
  <si>
    <t xml:space="preserve">Substituto na cobertura de afastamento maternidade  (considera-se 4,01% de liçenças concedidas  pela Previdência e média de 46% de mulheres empregadas no segmento) </t>
  </si>
  <si>
    <t>TOTAL SUBMÓDULO 4.1</t>
  </si>
  <si>
    <t>TOTAL MÓDULO 4</t>
  </si>
  <si>
    <t>MÓDULO 5 - UNIFORMES E EPI'S</t>
  </si>
  <si>
    <t>SUBMÓDULO 5.1 - Uniformes, materiais e equipamentos (custos mensais)</t>
  </si>
  <si>
    <t>Uniformes e EPIs</t>
  </si>
  <si>
    <t>Materiais e Insumos</t>
  </si>
  <si>
    <t>Equipamentos e Ferramentas</t>
  </si>
  <si>
    <t>TOTAL SUBMÓDULO 5.1</t>
  </si>
  <si>
    <t>SUBMÓDULO 5.2 - Veículos</t>
  </si>
  <si>
    <t>Manutenção</t>
  </si>
  <si>
    <t>Custos obrigatórios mensais</t>
  </si>
  <si>
    <t>Remuneração de capital e depreciação mensal</t>
  </si>
  <si>
    <t>TOTAL SUBMÓDULO 5.2</t>
  </si>
  <si>
    <t>TOTAL MÓDULO 5</t>
  </si>
  <si>
    <t>MÓDULO 6 - CUSTOS INDIRETOS, TRIBUTOS E LUCRO</t>
  </si>
  <si>
    <t>Custos administrativos (Custos indiretos)</t>
  </si>
  <si>
    <t xml:space="preserve">Lucro ou margem de remuneração </t>
  </si>
  <si>
    <t>TOTAL SUBMÓDULO 6.1</t>
  </si>
  <si>
    <t>Somátório  M1+M2+M3+M4+M5+SM 6.1</t>
  </si>
  <si>
    <t>Alíquota</t>
  </si>
  <si>
    <t>TOTAL SUBMÓDULO 6.2</t>
  </si>
  <si>
    <t>TOTAL MÓDULO 6 - CITL TOTAL</t>
  </si>
  <si>
    <t>QUADRO‐RESUMO DO CUSTO POR EMPREGADO</t>
  </si>
  <si>
    <t>Valor(R$)</t>
  </si>
  <si>
    <t>Mão de obra vinculada à execução contratual (valor por empregado)</t>
  </si>
  <si>
    <t>MÓDULO 5 - UNIFORMES, MATERIAIS E EQUIPAMENTOS</t>
  </si>
  <si>
    <t>Subtotal (A + B + C + D + E)</t>
  </si>
  <si>
    <t xml:space="preserve"> CUSTO POR  POSTO DE TRABALHO  </t>
  </si>
  <si>
    <t>Custo e especificação da certificação digital</t>
  </si>
  <si>
    <t>FONTE 1</t>
  </si>
  <si>
    <t>FONTE 2</t>
  </si>
  <si>
    <t>FONTE 3</t>
  </si>
  <si>
    <t>Item</t>
  </si>
  <si>
    <t>Soluti</t>
  </si>
  <si>
    <t>SP Certificado Digital</t>
  </si>
  <si>
    <t>Certisign</t>
  </si>
  <si>
    <t>CUSTO MÉDIO (UNIDADE)</t>
  </si>
  <si>
    <t>CUSTO MÉDIO (MENSAL P/ 24 MESES)</t>
  </si>
  <si>
    <t>QUANTIDADE ESTIMADA</t>
  </si>
  <si>
    <t>CUSTO MENSAL COM CERTIFICAÇÃO DIGITAL (CUSTO MÉDIO MENSAL X QTD)</t>
  </si>
  <si>
    <t>e-CPF A3 TOKEN - validade de 12 meses</t>
  </si>
  <si>
    <t>QUADRO RESUMO ORÇAMENTO DO FARDAMENTO</t>
  </si>
  <si>
    <t>QUADRO RESUMO ORÇAMENTO DO FARDAMENTO MASCULINO – TODAS AS FUNÇÕES</t>
  </si>
  <si>
    <t>QUADRO RESUMO ORÇAMENTO DO FARDAMENTO FEMININO – TODAS AS FUNÇÕES</t>
  </si>
  <si>
    <t>DESCRIÇÃO DO CARGO</t>
  </si>
  <si>
    <t>PREÇO MÉDO APURADO NO PAINEL DE PREÇOS</t>
  </si>
  <si>
    <t>QUANTIDADES DE ITENS FORNECIDOS EM 01 ANO</t>
  </si>
  <si>
    <t>CUSTO ANUAL POR ITEM PARA CADA COLABORADOR(A)</t>
  </si>
  <si>
    <t>CUSTO MENSAL POR ITEM PARA CADA COLABORADOR(A)</t>
  </si>
  <si>
    <t>Orientações de Composição dos Custos:
Art. 23, §1º, inciso I da Lei n° 14.133/21
"I - composição de custos unitários menores ou iguais à mediana do item correspondente no painel
para consulta de preços ou no banco de preços em saúde disponíveis no Portal Nacional de Contratações
Públicas (PNCP);"
Art. 6º e §único do Manual de Pesquisa de Preços do TJCE é possível extrair o seguinte entendimento:
Quando existirem, pelo menos, 3 (três) preços de referência com diferença inferior ou igual a 40% entre si,
já será o suficiente como referência para a contratação.
Considerou-se utilizar o Manual do STJ para aquilo que o Manual de Pesquisa de Preços do TJCE seja
omisso, e como boa prática na realização da pesquisa de preços:
1. O CV é considerado baixo, quando apresentar percentual igual ou inferior a 25%. Sendo
recomendado o uso da média; [CV=&lt;25% -&gt; MÉDIA]
2. O CV é considerado alto, quando apresentar percentual superior a 25%. Sendo recomendado o uso
da mediana; [25%&lt;CV&lt;40% -&gt; MEDIANA]
3. Para quando o CV for igual ou superior a 40%, recomenda-se utilizar a média saneada; [40% =&lt;
CV -&gt; MÉDIA SANEADA]</t>
  </si>
  <si>
    <t>TERNO (BLAZER E CALÇA)</t>
  </si>
  <si>
    <t>CAMISA SOCIAL</t>
  </si>
  <si>
    <t>GRAVATA</t>
  </si>
  <si>
    <t>CINTO DE COURO</t>
  </si>
  <si>
    <t>SAPATO SOCIAL</t>
  </si>
  <si>
    <t>MEIA SOCIAL</t>
  </si>
  <si>
    <t>CUSTO MENSAL DO UNIFORME COMPLETO PARA CADA COLABORADOR</t>
  </si>
  <si>
    <t>CUSTO MENSAL DO UNIFORME COMPLETO PARA CADA COLABORADORA</t>
  </si>
  <si>
    <t>CUSTO ANUAL DO UNIFORME COMPLETO PARA CADA COLABORADOR</t>
  </si>
  <si>
    <t>CUSTO ANUAL DO UNIFORME COMPLETO PARA CADA COLABORADORA</t>
  </si>
  <si>
    <t>CUSTO TRIENAL DO UNIFORME COMPLETO PARA CADA COLABORADOR</t>
  </si>
  <si>
    <t>CUSTO TRIENAL DO UNIFORME COMPLETO PARA CADA COLABORADORA</t>
  </si>
  <si>
    <t>QUADRO RESUMO ORÇAMENTO DO FARDAMENTO MÉDIO* – TODAS AS FUNÇÕES</t>
  </si>
  <si>
    <t>Observação: Não sendo possível determinar custos distintos por sexo, adotou-se a média entre os valores dos dois sexos</t>
  </si>
  <si>
    <t>ORDEM dos custos unitários menores ou iguais à mediana (crescente)</t>
  </si>
  <si>
    <t>CÓDIGO IDENTIFICAÇÃO DA COMPRA</t>
  </si>
  <si>
    <t>PREÇO UNITÁRIO TRANSACIONADO                           (R$)</t>
  </si>
  <si>
    <t>Desvio Padrão                                                                             (Dp)</t>
  </si>
  <si>
    <t>Média Aritmética                                                                     (Ma)</t>
  </si>
  <si>
    <t>Coeficiente de Variação                           (CV)</t>
  </si>
  <si>
    <t>Limite 
Inferior (Ma - Dp)</t>
  </si>
  <si>
    <t>Limite
 Superior (Ma + Dp)</t>
  </si>
  <si>
    <t>MÉDIA</t>
  </si>
  <si>
    <t>90036/2024</t>
  </si>
  <si>
    <t>MEDIANA</t>
  </si>
  <si>
    <t>90018/2025</t>
  </si>
  <si>
    <t>90065/2024</t>
  </si>
  <si>
    <t>PREÇO OBTIDO</t>
  </si>
  <si>
    <t>QUANTIDADE ANUAL
ESTIMADA POR COLABORADOR(A)</t>
  </si>
  <si>
    <t>VALOR TOTAL ANUAL ESTIMADO POR COLABORADOR(A)_x000D_</t>
  </si>
  <si>
    <t>QUANTIDADE TRIENAL ESTIMADA POR COLABORADOR(A)</t>
  </si>
  <si>
    <t>VALOR TOTAL
TRIENAL ESTIMADO POR COLABORADOR(A)</t>
  </si>
  <si>
    <t>Limite
Inferior                        (Ma - Dp)</t>
  </si>
  <si>
    <t>Limite
Superior          (Ma + Dp)</t>
  </si>
  <si>
    <t>90014/2025</t>
  </si>
  <si>
    <t>90130/2024</t>
  </si>
  <si>
    <t>90001/2024</t>
  </si>
  <si>
    <t>MÉDIA SANEADA</t>
  </si>
  <si>
    <t>90006/2024</t>
  </si>
  <si>
    <t>90020/2024</t>
  </si>
  <si>
    <t>90015/2025</t>
  </si>
  <si>
    <t>90025/2024</t>
  </si>
  <si>
    <t>130,24</t>
  </si>
  <si>
    <t>90002/2024</t>
  </si>
  <si>
    <t>90030/2024</t>
  </si>
  <si>
    <t>90064/2024</t>
  </si>
  <si>
    <t>90332/2024</t>
  </si>
  <si>
    <t>Função </t>
  </si>
  <si>
    <t>Peça do Vestuário </t>
  </si>
  <si>
    <t>Especificação / Cor </t>
  </si>
  <si>
    <t>Quantidade anual </t>
  </si>
  <si>
    <t>Valor unitário</t>
  </si>
  <si>
    <t>Valor anual</t>
  </si>
  <si>
    <t>Valor total por Posto</t>
  </si>
  <si>
    <t>Valor mensal estimado</t>
  </si>
  <si>
    <t>Copeiro (a) </t>
  </si>
  <si>
    <t>Vestido / Conj. copeiro masculino</t>
  </si>
  <si>
    <t>fem.:Vestido, Cor preta com mangas curtas e detalhes na gola e mangas em bordado inglês branco confeccionado em algodão, fechamento frontal / mas.: Conjunto copeiro: Calça, material brim, cor preta; Blusa detalhes na gola e mangas em bordado inglês confeccionado em algodão, material brim, cor preta</t>
  </si>
  <si>
    <t>Meia </t>
  </si>
  <si>
    <t>Cano curto, cor branca (par) </t>
  </si>
  <si>
    <t>Avental saia </t>
  </si>
  <si>
    <t>Curto 1/2, cor branca com detalhe em bordado inglês confeccionado em algodão </t>
  </si>
  <si>
    <t>Prendedor de cabelo </t>
  </si>
  <si>
    <t>Tipo laço com redinha para coque cabelo com elástico, cor branca </t>
  </si>
  <si>
    <t>Botina profissional </t>
  </si>
  <si>
    <t>Bico de plástico, cor preta (par) </t>
  </si>
  <si>
    <t>Cozinheiro(a) </t>
  </si>
  <si>
    <t>Dolmã </t>
  </si>
  <si>
    <t>Cor branca com mangas curtas, modelo masc./fem. </t>
  </si>
  <si>
    <t>Avental de cozinha </t>
  </si>
  <si>
    <t>Cor branca </t>
  </si>
  <si>
    <t>Calça </t>
  </si>
  <si>
    <t>Gabardine, cós em elástico, cor preta, modelagem masc./fem. </t>
  </si>
  <si>
    <t>Touca de cozinheiro </t>
  </si>
  <si>
    <t>Cor preta, com elástico </t>
  </si>
  <si>
    <t>Cano curto, cor preta (par) </t>
  </si>
  <si>
    <t>Tênis </t>
  </si>
  <si>
    <t>cor preta (par) </t>
  </si>
  <si>
    <t>Garçom/Garçonete </t>
  </si>
  <si>
    <t>Camisa social </t>
  </si>
  <si>
    <t>Manga longa, cor branca, modelagem masc./fem. </t>
  </si>
  <si>
    <t>Social, cós em elástico, cor preta, modelagem masc./fem. </t>
  </si>
  <si>
    <t>Gravata </t>
  </si>
  <si>
    <t>Tipo borboleta, Cor preta </t>
  </si>
  <si>
    <t>Colete </t>
  </si>
  <si>
    <t>Cor preta </t>
  </si>
  <si>
    <t>Sapato social </t>
  </si>
  <si>
    <t>Fechado, material resistente, cor preta (par), modelo masc./fem. </t>
  </si>
  <si>
    <t>Cinto</t>
  </si>
  <si>
    <t>em couro, com fivela, cor preta.</t>
  </si>
  <si>
    <t>Encarregado(a) de Função </t>
  </si>
  <si>
    <t>Camisa Polo</t>
  </si>
  <si>
    <t>Cor preta, com logomarca da prestadora, modelo masc./fem. </t>
  </si>
  <si>
    <t>TJES-PE N° 90048/2024</t>
  </si>
  <si>
    <t>TJDFT-PE N° 38/2023</t>
  </si>
  <si>
    <t>CNJ-PE Nº 90026/2025</t>
  </si>
  <si>
    <t>TJCE-PE N° 010/2023</t>
  </si>
  <si>
    <t xml:space="preserve"> SEEC/DF-PE Nº 900021/2025</t>
  </si>
  <si>
    <t>Serviço</t>
  </si>
  <si>
    <t>Und de medida</t>
  </si>
  <si>
    <t>Qtd</t>
  </si>
  <si>
    <t>Salário base</t>
  </si>
  <si>
    <t>Número de preços para o item</t>
  </si>
  <si>
    <t>MÉDIA SIMPLES (unitária)</t>
  </si>
  <si>
    <t>VALOR TOTAL - média simples x qtd</t>
  </si>
  <si>
    <t>DESVIO PADRÃO</t>
  </si>
  <si>
    <t>Menor valor a considerar (MÉDIA - DP)</t>
  </si>
  <si>
    <t>Maior valor a considerar (MÉDIA + DP)</t>
  </si>
  <si>
    <t>Soma dos valores dentro do intervalo</t>
  </si>
  <si>
    <t>Número de preços válidos dentro do intervalo</t>
  </si>
  <si>
    <t>MÉDIA + DESVIO PADRÃO (unitária) - desconsiderados os inexeq./excessiv. elevados</t>
  </si>
  <si>
    <t>Garçom / Garçonete</t>
  </si>
  <si>
    <t>Serviço de Garçonaria</t>
  </si>
  <si>
    <t>Posto</t>
  </si>
  <si>
    <t>Valor Total:</t>
  </si>
  <si>
    <t xml:space="preserve">    </t>
  </si>
  <si>
    <t xml:space="preserve">
</t>
  </si>
  <si>
    <t>ANEXO __ - CUSTO COM RELÓGIO DE PONTO ELETRÔNICO</t>
  </si>
  <si>
    <t>ITEM</t>
  </si>
  <si>
    <t>FERRAMENTA/EQUIPAMENTO</t>
  </si>
  <si>
    <t>SERVIÇO</t>
  </si>
  <si>
    <t>QUANTIDADE</t>
  </si>
  <si>
    <t>VALOR UNITÁRIO</t>
  </si>
  <si>
    <t>VALOR TOTAL</t>
  </si>
  <si>
    <t>CLASSIFICAÇÃO</t>
  </si>
  <si>
    <t>VIDA ÚTIL (MESES)</t>
  </si>
  <si>
    <t>DEPRECIAÇÃO ANUAL (%)</t>
  </si>
  <si>
    <t>VALOR RESIDUAL ESTIMADO - 10% (POR ITEM)</t>
  </si>
  <si>
    <t>VALOR RESIDUAL ESTIMADO - 10% (TOTAL)</t>
  </si>
  <si>
    <t>DEPRECIAÇÃO MENSAL (POR ITEM)</t>
  </si>
  <si>
    <t>DEPRECIAÇÃO MENSAL (TOTAL)</t>
  </si>
  <si>
    <t>NCM 9106.10.00 - RELÓGIO DE PONTO ELETRÔNICO DIGITAL TIPO: BIOMÉTRICO, CARACTERÍSTICAS ADICIONAIS: TECLAS EM PADRÃO TELEFÔNICO ALIMENTAÇÃO: 110/220V</t>
  </si>
  <si>
    <t>-</t>
  </si>
  <si>
    <t>Equipamento</t>
  </si>
  <si>
    <t>CUSTO TOTAL</t>
  </si>
  <si>
    <t>CUSTO MENSAL COM DEPRECIAÇÃO DE EQUIPAMENTOS - RELÓGIO DE PONTO ELETRÔNICO</t>
  </si>
  <si>
    <t>NÚMERO TOTAL DE POSTOS ESTIMADOS NA CONTRATAÇÃO</t>
  </si>
  <si>
    <t>CUSTO UNITÁRIO COM DEPRECIAÇÃO EQUIPAMENTOS - RELÓGIO DE PONTO ELETRÔNICO</t>
  </si>
  <si>
    <t xml:space="preserve">Depreciação mensal = (valor do item - valor residual estimado) / vida útil estimada (meses) </t>
  </si>
  <si>
    <t>CUSTO MÁXIMO MENSAL COM A DEPRECIAÇÃO DAS FERRAMENTAS E EQUIPAMENTOS:  Valor máximo orçado dos equipamentos e ferramentas, distribuido ao longo da respectiva vida útil estimada. O cálculo da depreciação dos equipamentos foi realizado com base no disposto no Anexo III (taxas anuais de depreciação) da Instrução Normativa da Receita Federal do Brasil n. 1700/2017, com suas alterações. A proponente poderá cotar valor inferior, respeitando a especificação e o quantitativo expostos no presente anexo.</t>
  </si>
  <si>
    <t xml:space="preserve">Pesquisa de Preços para  Insumos, Materiais e Equipamentos </t>
  </si>
  <si>
    <t xml:space="preserve">Pesquisa de Preços para Insumos, Materiais e Equipamentos </t>
  </si>
  <si>
    <t>ABIN - Pe nº 90007/24</t>
  </si>
  <si>
    <t>DNIT/RJ PE n  401/23</t>
  </si>
  <si>
    <t xml:space="preserve">JFPR PE n 021/24 </t>
  </si>
  <si>
    <t>MPRJ PE n 15/24  UASG 925153</t>
  </si>
  <si>
    <t>SRPF PE nº  90002/2024 UASG 200376</t>
  </si>
  <si>
    <t xml:space="preserve">TJPR PE nº 19/24  </t>
  </si>
  <si>
    <t>TRE CE Pe n 90013/24</t>
  </si>
  <si>
    <t>TRF 4ª REG PE n 5/24 UASG 090030</t>
  </si>
  <si>
    <t>TRT 4ª  REG PE nº 970/24 UASG 080014</t>
  </si>
  <si>
    <t>TRT 23ª REG Pe nº 09/24 UASG 80025</t>
  </si>
  <si>
    <t>TRT 7ª REG CE PE 00039/23</t>
  </si>
  <si>
    <t>DATAPREV DF PE nº 00139/22</t>
  </si>
  <si>
    <t>PREF MUNIC BELEM -PA PE n  115/23 -Lote 11</t>
  </si>
  <si>
    <t xml:space="preserve">PREF MUNIC BELEM -PA PE n  115/23 -Lote 1 </t>
  </si>
  <si>
    <t>MIN DA EDUCAÇÃO- UFSJ PE 00039/23</t>
  </si>
  <si>
    <t>CARTERC SP -vol 3 Limpeza Predial</t>
  </si>
  <si>
    <t>TJCE PE (não entrou na média)</t>
  </si>
  <si>
    <t xml:space="preserve">Média </t>
  </si>
  <si>
    <t xml:space="preserve">Desvio padrão </t>
  </si>
  <si>
    <t xml:space="preserve">Média Saneada </t>
  </si>
  <si>
    <t>Valor homologado proporcional  Serviços Conservação e Limpeza  -Global Anual</t>
  </si>
  <si>
    <t>Insumos de limpeza área Interna e externa com Mat higiene e insumos de jardinagem</t>
  </si>
  <si>
    <t xml:space="preserve">% do Mat de Higiene </t>
  </si>
  <si>
    <t>Valor Homologado  proporcional  s/ serviços jardinagem -Global anual</t>
  </si>
  <si>
    <t xml:space="preserve">Valor Anual Equipamentos de Jardinagem </t>
  </si>
  <si>
    <t xml:space="preserve">%  de Equipamentos de Jardinagem </t>
  </si>
  <si>
    <t xml:space="preserve">Valor Anual Equipamentos de Limpeza </t>
  </si>
  <si>
    <t xml:space="preserve">%  de Equipamentos de Limpeza </t>
  </si>
  <si>
    <t>ISS E TARIFA DE TRANSPORTE PÚBLICO — PARÂMETROS LOCAIS E DISTRIBUIÇÃO DE POSTOS POR MUNICÍPIO (PARA PREENCHIMENTO PELAS LICITANTES)</t>
  </si>
  <si>
    <t>INSTRUÇÕES: preencher uma linha por município. Células em AMARELO são de entrada (inputs). Valores em AZUL são valores digitados; FÓRMULAS aparecem em preto/verde. A alíquota ISS deve ser verificada no Código Tributário de cada município. Em municípios sem disponibilidade de transporte público regular atestado pelo poder público local, marque "NÃO" na coluna C — a Lei 7.418/85 só exige VT onde há transporte coletivo utilizado pelo empregado. Alterar SOMENTE os dados relativos ao vale-transporte e ao ISS. NÃO DEVE HAVER ALTERAÇÃO NA DISTRIBUIÇÃO DOS POSTOS POR FUNÇÃO.</t>
  </si>
  <si>
    <t>IDENTIFICAÇÃO</t>
  </si>
  <si>
    <t>VALE-TRANSPORTE (por município)</t>
  </si>
  <si>
    <t>DISTRIBUIÇÃO DOS POSTOS POR FUNÇÃO</t>
  </si>
  <si>
    <t>TOTAL</t>
  </si>
  <si>
    <t>Nº</t>
  </si>
  <si>
    <t>Município</t>
  </si>
  <si>
    <t>Há transporte público disponível?</t>
  </si>
  <si>
    <t>Tarifa (R$)</t>
  </si>
  <si>
    <t>Tarifa/dia</t>
  </si>
  <si>
    <t>Dias úteis/mês</t>
  </si>
  <si>
    <t>Alíquota ISS</t>
  </si>
  <si>
    <t>F1-
Oper. Recepção</t>
  </si>
  <si>
    <t>F2-
Oper. Atendim.</t>
  </si>
  <si>
    <t>F3-
Oper. Atend. Espec.</t>
  </si>
  <si>
    <t>F4-
Supervisor</t>
  </si>
  <si>
    <t>F5-
Coordenador</t>
  </si>
  <si>
    <t>F6-
Assist. Gestão</t>
  </si>
  <si>
    <t>F7-
Apoio Gestão</t>
  </si>
  <si>
    <t>F8-
Intérp. Libras</t>
  </si>
  <si>
    <t>Postos por município</t>
  </si>
  <si>
    <t>Abaiara</t>
  </si>
  <si>
    <t>NÃO</t>
  </si>
  <si>
    <t>Acarape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</si>
  <si>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</si>
  <si>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</si>
  <si>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</si>
  <si>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</si>
  <si>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</si>
  <si>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</si>
  <si>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</si>
  <si>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</si>
  <si>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</si>
  <si>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</si>
  <si>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</si>
  <si>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</si>
  <si>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</si>
  <si>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</si>
  <si>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</si>
  <si>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</si>
  <si>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</si>
  <si>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</si>
  <si>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</si>
  <si>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</si>
  <si>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</si>
  <si>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</si>
  <si>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</si>
  <si>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</si>
  <si>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</si>
  <si>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</si>
  <si>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</si>
  <si>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</si>
  <si>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</si>
  <si>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</si>
  <si>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</si>
  <si>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</si>
  <si>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</si>
  <si>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</si>
  <si>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Caririaçu</t>
  </si>
  <si>
    <t>Cariré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</si>
  <si>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</si>
  <si>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</si>
  <si>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</si>
  <si>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</si>
  <si>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</si>
  <si>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</si>
  <si>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</si>
  <si>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</si>
  <si>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Chorozinho</t>
  </si>
  <si>
    <t>Choró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</si>
  <si>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</si>
  <si>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</si>
  <si>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</si>
  <si>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</si>
  <si>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</si>
  <si>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</si>
  <si>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</si>
  <si>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</si>
  <si>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</si>
  <si>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</si>
  <si>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</si>
  <si>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</si>
  <si>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</si>
  <si>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</si>
  <si>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</si>
  <si>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</si>
  <si>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</si>
  <si>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</si>
  <si>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</si>
  <si>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</si>
  <si>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</si>
  <si>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</si>
  <si>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</si>
  <si>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</si>
  <si>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</si>
  <si>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</si>
  <si>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</si>
  <si>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</si>
  <si>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</si>
  <si>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</si>
  <si>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</si>
  <si>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</si>
  <si>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</si>
  <si>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</si>
  <si>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</si>
  <si>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</si>
  <si>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</si>
  <si>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</si>
  <si>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</si>
  <si>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</si>
  <si>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</si>
  <si>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</si>
  <si>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</si>
  <si>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</si>
  <si>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</si>
  <si>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</si>
  <si>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</si>
  <si>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</si>
  <si>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</si>
  <si>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</si>
  <si>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</si>
  <si>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</si>
  <si>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</si>
  <si>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</si>
  <si>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</si>
  <si>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</si>
  <si>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</si>
  <si>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</si>
  <si>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</si>
  <si>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</si>
  <si>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</si>
  <si>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</si>
  <si>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Milagres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</si>
  <si>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</si>
  <si>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</si>
  <si>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</si>
  <si>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</si>
  <si>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</si>
  <si>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</si>
  <si>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</si>
  <si>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</si>
  <si>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</si>
  <si>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</si>
  <si>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</si>
  <si>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</si>
  <si>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</si>
  <si>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</si>
  <si>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</si>
  <si>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</si>
  <si>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</si>
  <si>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</si>
  <si>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</si>
  <si>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</si>
  <si>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</si>
  <si>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</si>
  <si>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</si>
  <si>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</si>
  <si>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</si>
  <si>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</si>
  <si>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</si>
  <si>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</si>
  <si>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</si>
  <si>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</si>
  <si>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</si>
  <si>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</si>
  <si>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</si>
  <si>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</si>
  <si>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</si>
  <si>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</si>
  <si>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</si>
  <si>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</si>
  <si>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</si>
  <si>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</si>
  <si>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</si>
  <si>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</si>
  <si>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</si>
  <si>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</si>
  <si>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</si>
  <si>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</si>
  <si>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</si>
  <si>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</si>
  <si>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</si>
  <si>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</si>
  <si>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</si>
  <si>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</si>
  <si>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</si>
  <si>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</si>
  <si>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</si>
  <si>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</si>
  <si>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</si>
  <si>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</si>
  <si>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</si>
  <si>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</si>
  <si>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</si>
  <si>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</si>
  <si>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</si>
  <si>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</si>
  <si>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</si>
  <si>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</si>
  <si>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</si>
  <si>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</si>
  <si>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</si>
  <si>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</si>
  <si>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</si>
  <si>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</si>
  <si>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</si>
  <si>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TOTAL GERAL</t>
  </si>
  <si>
    <t>REFERÊNCIA (TABELA-RESUMO: 824 postos)</t>
  </si>
  <si>
    <t>VALIDAÇÃO</t>
  </si>
  <si>
    <t>CUSTO MENSAL POR MUNICÍPIO E POR FUNÇÃO</t>
  </si>
  <si>
    <t>Cálculo do CUSTO UNITÁRIO POR POSTO (R$/mês) para cada função em cada município, considerando o valor do VT e a alíquota de ISS locais. Os valores fixos (salário, encargos, uniformes) vêm de VALOR POSTOS MÊS; somente VT e ISS são variáveis por município. NÃO DEVE HAVER ALTERAÇÃO MANUAL NESTA PLANILHA.</t>
  </si>
  <si>
    <t>IDENT.</t>
  </si>
  <si>
    <t>PARÂMETROS LOCAIS</t>
  </si>
  <si>
    <t xml:space="preserve">CUSTO UNITÁRIO POR FUNÇÃO EM CADA LOCALIDADE (R$/mês) </t>
  </si>
  <si>
    <t>QUANTIDADE DE POSTOS — por função</t>
  </si>
  <si>
    <t>CUSTO MENSAL TOTAL DO MUNICÍPIO</t>
  </si>
  <si>
    <t>VT bruto
(R$/mês)</t>
  </si>
  <si>
    <t>Alíquota
ISS</t>
  </si>
  <si>
    <t>Custo Mensal
Mão-de-Obra (A)</t>
  </si>
  <si>
    <t>Provis.
2% de "A" (B)</t>
  </si>
  <si>
    <t>Mensal
"A"+"B"</t>
  </si>
  <si>
    <t>24 meses
(A+B)×24</t>
  </si>
  <si>
    <t>RESUMO CONSOLIDADO — CUSTO MENSAL E ANUAL POR MUNICÍPIO</t>
  </si>
  <si>
    <t>Visão agregada por município. Totais usados no ANEXO I da contratação. Os valores se atualizam automaticamente quando o Cadastro de vale-transporte e ISS é modificado. NÃO DEVE HAVER ALTERAÇÃO MANUAL DESTA PLANILHA</t>
  </si>
  <si>
    <t>Qtd Postos</t>
  </si>
  <si>
    <t>Custo Mensal MO (A)</t>
  </si>
  <si>
    <t>Provis. 2% (B)</t>
  </si>
  <si>
    <t>Custo Mensal Total (A+B)</t>
  </si>
  <si>
    <t>RESUMO DO CUSTO TOTAL DA CONTRATAÇÃO</t>
  </si>
  <si>
    <t>Custo Mensal da Mão de Obra (A)</t>
  </si>
  <si>
    <t>Provisionamento Mensal (B = 2% de A)</t>
  </si>
  <si>
    <t>Custo Mensal Total (C = A + B)</t>
  </si>
  <si>
    <t>Custo Total para 24 meses (C × 24)</t>
  </si>
  <si>
    <t>Nº Total de Postos</t>
  </si>
  <si>
    <t>Nº de Municípios com Postos (&gt; 0)</t>
  </si>
  <si>
    <t>Nº Total de Municípios no Cadastro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</si>
</sst>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164" formatCode="_([$€-2]* #,##0.00_);_([$€-2]* \(#,##0.00\);_([$€-2]* \-??_)"/>
    <numFmt numFmtId="165" formatCode="_(\$* #,##0.00_);_(\$* \(#,##0.00\);_(\$* \-??_);_(@_)"/>
    <numFmt numFmtId="166" formatCode="_(&quot;R$&quot;* #,##0.00_);_(&quot;R$&quot;* \(#,##0.00\);_(&quot;R$&quot;* \-??_);_(@_)"/>
    <numFmt numFmtId="167" formatCode="_(&quot;R$ &quot;* #,##0.00_);_(&quot;R$ &quot;* \(#,##0.00\);_(&quot;R$ &quot;* \-??_);_(@_)"/>
    <numFmt numFmtId="168" formatCode="_-&quot;R$ &quot;* #,##0.00_-;&quot;-R$ &quot;* #,##0.00_-;_-&quot;R$ &quot;* \-??_-;_-@_-"/>
    <numFmt numFmtId="169" formatCode="_-&quot;R$&quot;* #,##0.00_-;&quot;-R$&quot;* #,##0.00_-;_-&quot;R$&quot;* \-??_-;_-@_-"/>
    <numFmt numFmtId="170" formatCode="[$-416]General"/>
    <numFmt numFmtId="171" formatCode="[$R$-416]\ #,##0.00;[Red]\-[$R$-416]\ #,##0.00"/>
    <numFmt numFmtId="172" formatCode="_(* #,##0.00_);_(* \(#,##0.00\);_(* \-??_);_(@_)"/>
    <numFmt numFmtId="173" formatCode="* #,##0.00\ ;* \(#,##0.00\);* \-#\ ;@\ "/>
    <numFmt numFmtId="174" formatCode="0&quot; dias &quot;"/>
    <numFmt numFmtId="175" formatCode="0.00000"/>
    <numFmt numFmtId="176" formatCode="0.00&quot; dias &quot;"/>
    <numFmt numFmtId="177" formatCode="0&quot; meses &quot;"/>
    <numFmt numFmtId="178" formatCode="_-* #,##0.00_-;\-* #,##0.00_-;_-* \-??_-;_-@_-"/>
    <numFmt numFmtId="179" formatCode="&quot;R$ &quot;#,##0.00"/>
    <numFmt numFmtId="180" formatCode="0\h"/>
    <numFmt numFmtId="181" formatCode="_-[$R$-416]\ * #,##0.00_-;\-[$R$-416]\ * #,##0.00_-;_-[$R$-416]\ * \-??_-;_-@_-"/>
    <numFmt numFmtId="182" formatCode="[$R$-416]\ #,##0.00"/>
    <numFmt numFmtId="183" formatCode="\$#,##0.00"/>
    <numFmt numFmtId="184" formatCode="[$R$-416]\ #,##0.0000"/>
    <numFmt numFmtId="185" formatCode="[$$-409]#,##0.00;[Red]\-[$$-409]#,##0.00"/>
    <numFmt numFmtId="186" formatCode="0.0000"/>
    <numFmt numFmtId="187" formatCode="_-[$R$-416]* #,##0.00_-;\-[$R$-416]* #,##0.00_-;_-[$R$-416]* \-??_-;_-@_-"/>
    <numFmt numFmtId="188" formatCode="&quot;R$ &quot;#,##0.00;[Red]&quot;-R$ &quot;#,##0.00"/>
    <numFmt numFmtId="189" formatCode="&quot;R$&quot;#,##0.00"/>
    <numFmt numFmtId="190" formatCode="&quot;R$ &quot;#,##0.00;&quot;(R$ &quot;#,##0.00\);\-"/>
  </numFmts>
  <fonts count="96">
    <font>
      <sz val="11"/>
      <color theme="1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sz val="10"/>
      <name val="Arial"/>
      <family val="2"/>
      <charset val="1"/>
    </font>
    <font>
      <b/>
      <i/>
      <sz val="16"/>
      <color rgb="FF000000"/>
      <name val="Arial1"/>
      <charset val="1"/>
    </font>
    <font>
      <sz val="11"/>
      <color rgb="FF800080"/>
      <name val="Calibri"/>
      <family val="2"/>
      <charset val="1"/>
    </font>
    <font>
      <sz val="11"/>
      <color rgb="FF993300"/>
      <name val="Calibri"/>
      <family val="2"/>
      <charset val="1"/>
    </font>
    <font>
      <sz val="11"/>
      <color rgb="FF000000"/>
      <name val="Arial1"/>
      <charset val="1"/>
    </font>
    <font>
      <sz val="10"/>
      <color theme="1"/>
      <name val="Calibri"/>
      <family val="2"/>
      <charset val="1"/>
    </font>
    <font>
      <sz val="10"/>
      <color theme="1"/>
      <name val="Arial"/>
      <family val="2"/>
      <charset val="1"/>
    </font>
    <font>
      <sz val="11"/>
      <color theme="1"/>
      <name val="Arial"/>
      <family val="2"/>
      <charset val="1"/>
    </font>
    <font>
      <b/>
      <i/>
      <u/>
      <sz val="11"/>
      <color rgb="FF000000"/>
      <name val="Arial1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name val="Calibri"/>
      <family val="2"/>
      <charset val="1"/>
    </font>
    <font>
      <sz val="11"/>
      <color theme="0"/>
      <name val="Calibri"/>
      <family val="2"/>
      <charset val="1"/>
    </font>
    <font>
      <b/>
      <sz val="11"/>
      <color theme="0"/>
      <name val="Calibri"/>
      <family val="2"/>
      <charset val="1"/>
    </font>
    <font>
      <b/>
      <sz val="11"/>
      <name val="Calibri"/>
      <family val="2"/>
      <charset val="1"/>
    </font>
    <font>
      <b/>
      <sz val="10"/>
      <color theme="0"/>
      <name val="Calibri"/>
      <family val="2"/>
      <charset val="1"/>
    </font>
    <font>
      <b/>
      <u val="double"/>
      <sz val="20"/>
      <color rgb="FF000000"/>
      <name val="Calibri"/>
      <family val="2"/>
      <charset val="1"/>
    </font>
    <font>
      <b/>
      <sz val="11"/>
      <color theme="1"/>
      <name val="Calibri"/>
      <family val="2"/>
      <charset val="1"/>
    </font>
    <font>
      <sz val="8"/>
      <name val="Calibri"/>
      <family val="2"/>
      <charset val="1"/>
    </font>
    <font>
      <sz val="10"/>
      <name val="Calibri"/>
      <family val="2"/>
      <charset val="1"/>
    </font>
    <font>
      <i/>
      <sz val="11"/>
      <name val="Calibri"/>
      <family val="2"/>
      <charset val="1"/>
    </font>
    <font>
      <b/>
      <sz val="11"/>
      <color theme="4" tint="-0.249977111117893"/>
      <name val="Calibri"/>
      <family val="2"/>
      <charset val="1"/>
    </font>
    <font>
      <b/>
      <sz val="10"/>
      <name val="Calibri"/>
      <family val="2"/>
      <charset val="1"/>
    </font>
    <font>
      <sz val="8"/>
      <color rgb="FF0000FF"/>
      <name val="Calibri"/>
      <family val="2"/>
      <charset val="1"/>
    </font>
    <font>
      <b/>
      <sz val="10"/>
      <color theme="1"/>
      <name val="Calibri"/>
      <family val="2"/>
      <charset val="1"/>
    </font>
    <font>
      <sz val="8"/>
      <color theme="1"/>
      <name val="Calibri"/>
      <family val="2"/>
      <charset val="1"/>
    </font>
    <font>
      <b/>
      <sz val="8"/>
      <color theme="0"/>
      <name val="Calibri"/>
      <family val="2"/>
      <charset val="1"/>
    </font>
    <font>
      <b/>
      <sz val="14"/>
      <color theme="1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14"/>
      <color theme="0"/>
      <name val="Calibri"/>
      <family val="2"/>
      <charset val="1"/>
    </font>
    <font>
      <i/>
      <sz val="12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1"/>
      <color rgb="FF002060"/>
      <name val="Calibri"/>
      <family val="2"/>
      <charset val="1"/>
    </font>
    <font>
      <i/>
      <sz val="11"/>
      <color rgb="FFFF0000"/>
      <name val="Calibri"/>
      <family val="2"/>
      <charset val="1"/>
    </font>
    <font>
      <i/>
      <sz val="11"/>
      <color theme="1"/>
      <name val="Calibri"/>
      <family val="2"/>
      <charset val="1"/>
    </font>
    <font>
      <u/>
      <sz val="11"/>
      <color theme="10"/>
      <name val="Calibri"/>
      <family val="2"/>
      <charset val="1"/>
    </font>
    <font>
      <i/>
      <sz val="10"/>
      <color rgb="FFFF0000"/>
      <name val="Calibri"/>
      <family val="2"/>
      <charset val="1"/>
    </font>
    <font>
      <b/>
      <sz val="12"/>
      <name val="Arial"/>
      <family val="2"/>
      <charset val="1"/>
    </font>
    <font>
      <b/>
      <sz val="10"/>
      <name val="Times New Roman"/>
      <family val="1"/>
      <charset val="1"/>
    </font>
    <font>
      <b/>
      <sz val="12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2"/>
      <name val="Times New Roman"/>
      <family val="1"/>
      <charset val="1"/>
    </font>
    <font>
      <b/>
      <sz val="11"/>
      <name val="Arial"/>
      <family val="2"/>
      <charset val="1"/>
    </font>
    <font>
      <b/>
      <sz val="11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color theme="1"/>
      <name val="Times New Roman"/>
      <family val="1"/>
      <charset val="1"/>
    </font>
    <font>
      <sz val="11"/>
      <color theme="1"/>
      <name val="Times New Roman"/>
      <family val="1"/>
      <charset val="1"/>
    </font>
    <font>
      <b/>
      <sz val="13.5"/>
      <color rgb="FF000000"/>
      <name val="Times New Roman"/>
      <family val="1"/>
      <charset val="1"/>
    </font>
    <font>
      <b/>
      <sz val="13.5"/>
      <color theme="1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b/>
      <sz val="10"/>
      <color theme="1"/>
      <name val="Times New Roman"/>
      <family val="1"/>
      <charset val="1"/>
    </font>
    <font>
      <b/>
      <sz val="12"/>
      <color theme="1"/>
      <name val="Times New Roman"/>
      <family val="1"/>
      <charset val="1"/>
    </font>
    <font>
      <sz val="10"/>
      <color theme="1"/>
      <name val="Times New Roman"/>
      <family val="1"/>
      <charset val="1"/>
    </font>
    <font>
      <b/>
      <sz val="18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b/>
      <sz val="16"/>
      <name val="Calibri"/>
      <family val="2"/>
      <charset val="1"/>
    </font>
    <font>
      <b/>
      <sz val="12"/>
      <color rgb="FFFFFFFF"/>
      <name val="Arial"/>
      <family val="2"/>
    </font>
    <font>
      <i/>
      <sz val="9"/>
      <color rgb="FF595959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FF"/>
      <name val="Arial"/>
      <family val="2"/>
    </font>
    <font>
      <b/>
      <sz val="11"/>
      <color rgb="FF000000"/>
      <name val="Arial"/>
      <family val="2"/>
    </font>
    <font>
      <i/>
      <sz val="9"/>
      <name val="Arial"/>
      <family val="2"/>
    </font>
    <font>
      <i/>
      <sz val="9"/>
      <color rgb="FF808080"/>
      <name val="Arial"/>
      <family val="2"/>
    </font>
    <font>
      <b/>
      <i/>
      <sz val="9"/>
      <name val="Arial"/>
      <family val="2"/>
    </font>
    <font>
      <sz val="10"/>
      <color rgb="FF008000"/>
      <name val="Arial"/>
      <family val="2"/>
    </font>
    <font>
      <b/>
      <sz val="11"/>
      <name val="Arial"/>
      <family val="2"/>
    </font>
    <font>
      <b/>
      <sz val="11"/>
      <color rgb="FF0000FF"/>
      <name val="Arial"/>
      <family val="2"/>
    </font>
    <font>
      <sz val="11"/>
      <color theme="1"/>
      <name val="Calibri"/>
      <family val="2"/>
      <charset val="1"/>
    </font>
    <font>
      <sz val="8"/>
      <color rgb="FFFF0000"/>
      <name val="Calibri"/>
      <family val="2"/>
      <charset val="1"/>
    </font>
    <font>
      <i/>
      <sz val="11"/>
      <color rgb="FFFF0000"/>
      <name val="Calibri"/>
      <family val="2"/>
    </font>
    <font>
      <b/>
      <i/>
      <sz val="11"/>
      <color theme="1"/>
      <name val="Calibri"/>
      <family val="2"/>
    </font>
    <font>
      <b/>
      <sz val="11"/>
      <color rgb="FF000000"/>
      <name val="Calibri"/>
    </font>
    <font>
      <i/>
      <sz val="11"/>
      <color rgb="FFFF0000"/>
      <name val="Calibri"/>
    </font>
    <font>
      <b/>
      <sz val="11"/>
      <color theme="1"/>
      <name val="Calibri"/>
    </font>
    <font>
      <b/>
      <i/>
      <sz val="11"/>
      <color rgb="FFFF0000"/>
      <name val="Calibri"/>
    </font>
    <font>
      <sz val="11"/>
      <color rgb="FFFF0000"/>
      <name val="Calibri"/>
    </font>
  </fonts>
  <fills count="59">
    <fill>
      <patternFill patternType="none"/>
    </fill>
    <fill>
      <patternFill patternType="gray125"/>
    </fill>
    <fill>
      <patternFill patternType="solid">
        <fgColor rgb="FFC5D5F9"/>
        <bgColor rgb="FFB4C7E7"/>
      </patternFill>
    </fill>
    <fill>
      <patternFill patternType="solid">
        <fgColor rgb="FFFF99CC"/>
        <bgColor rgb="FFF4B183"/>
      </patternFill>
    </fill>
    <fill>
      <patternFill patternType="darkGray">
        <fgColor rgb="FFCCFFEE"/>
        <bgColor rgb="FFE2F0D9"/>
      </patternFill>
    </fill>
    <fill>
      <patternFill patternType="solid">
        <fgColor rgb="FFCC99FF"/>
        <bgColor rgb="FFFF99CC"/>
      </patternFill>
    </fill>
    <fill>
      <patternFill patternType="solid">
        <fgColor rgb="FFCCFFEE"/>
        <bgColor rgb="FFDEEBF7"/>
      </patternFill>
    </fill>
    <fill>
      <patternFill patternType="solid">
        <fgColor rgb="FFFFCC99"/>
        <bgColor rgb="FFFFD966"/>
      </patternFill>
    </fill>
    <fill>
      <patternFill patternType="solid">
        <fgColor rgb="FF9ACAFC"/>
        <bgColor rgb="FFB4C7E7"/>
      </patternFill>
    </fill>
    <fill>
      <patternFill patternType="solid">
        <fgColor rgb="FFFF8080"/>
        <bgColor rgb="FFED7D31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C000"/>
      </patternFill>
    </fill>
    <fill>
      <patternFill patternType="solid">
        <fgColor rgb="FF0165CA"/>
        <bgColor rgb="FF2E75B6"/>
      </patternFill>
    </fill>
    <fill>
      <patternFill patternType="mediumGray">
        <fgColor theme="6" tint="0.39988402966399123"/>
        <bgColor rgb="FFC0C0C0"/>
      </patternFill>
    </fill>
    <fill>
      <patternFill patternType="solid">
        <fgColor rgb="FF800080"/>
        <bgColor rgb="FF333399"/>
      </patternFill>
    </fill>
    <fill>
      <patternFill patternType="solid">
        <fgColor rgb="FF33CCCC"/>
        <bgColor rgb="FF00B0F0"/>
      </patternFill>
    </fill>
    <fill>
      <patternFill patternType="solid">
        <fgColor rgb="FFFF9900"/>
        <bgColor rgb="FFED7D31"/>
      </patternFill>
    </fill>
    <fill>
      <patternFill patternType="solid">
        <fgColor rgb="FFC0C0C0"/>
        <bgColor rgb="FFD0CECE"/>
      </patternFill>
    </fill>
    <fill>
      <patternFill patternType="solid">
        <fgColor rgb="FF808080"/>
        <bgColor rgb="FF7F7F7F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2CC"/>
      </patternFill>
    </fill>
    <fill>
      <patternFill patternType="solid">
        <fgColor rgb="FF333399"/>
        <bgColor rgb="FF1F4E78"/>
      </patternFill>
    </fill>
    <fill>
      <patternFill patternType="solid">
        <fgColor rgb="FFFF0000"/>
        <bgColor rgb="FFFF6600"/>
      </patternFill>
    </fill>
    <fill>
      <patternFill patternType="mediumGray">
        <fgColor rgb="FF0A8D14"/>
        <bgColor rgb="FF2E75B6"/>
      </patternFill>
    </fill>
    <fill>
      <patternFill patternType="solid">
        <fgColor rgb="FFFF6600"/>
        <bgColor rgb="FFED7D31"/>
      </patternFill>
    </fill>
    <fill>
      <patternFill patternType="solid">
        <fgColor theme="8"/>
        <bgColor rgb="FF2E75B6"/>
      </patternFill>
    </fill>
    <fill>
      <patternFill patternType="solid">
        <fgColor theme="4"/>
        <bgColor rgb="FF8FAADC"/>
      </patternFill>
    </fill>
    <fill>
      <patternFill patternType="solid">
        <fgColor theme="4" tint="0.79989013336588644"/>
        <bgColor rgb="FFDAE3F3"/>
      </patternFill>
    </fill>
    <fill>
      <patternFill patternType="darkGray">
        <fgColor theme="4" tint="0.59987182226020086"/>
        <bgColor rgb="FFB4C7E7"/>
      </patternFill>
    </fill>
    <fill>
      <patternFill patternType="solid">
        <fgColor theme="8" tint="0.39988402966399123"/>
        <bgColor rgb="FF9ACAFC"/>
      </patternFill>
    </fill>
    <fill>
      <patternFill patternType="solid">
        <fgColor theme="8" tint="0.59987182226020086"/>
        <bgColor rgb="FFC5D5F9"/>
      </patternFill>
    </fill>
    <fill>
      <patternFill patternType="solid">
        <fgColor theme="9" tint="0.79989013336588644"/>
        <bgColor rgb="FFE7E6E6"/>
      </patternFill>
    </fill>
    <fill>
      <patternFill patternType="solid">
        <fgColor theme="9" tint="0.59987182226020086"/>
        <bgColor rgb="FFD9D9D9"/>
      </patternFill>
    </fill>
    <fill>
      <patternFill patternType="darkGray">
        <fgColor theme="9"/>
        <bgColor rgb="FF808080"/>
      </patternFill>
    </fill>
    <fill>
      <patternFill patternType="solid">
        <fgColor theme="8" tint="0.79989013336588644"/>
        <bgColor rgb="FFD9E1F2"/>
      </patternFill>
    </fill>
    <fill>
      <patternFill patternType="darkGray">
        <fgColor theme="4" tint="0.39988402966399123"/>
        <bgColor rgb="FFB4C7E7"/>
      </patternFill>
    </fill>
    <fill>
      <patternFill patternType="solid">
        <fgColor theme="7" tint="0.39988402966399123"/>
        <bgColor rgb="FFFFCC99"/>
      </patternFill>
    </fill>
    <fill>
      <patternFill patternType="solid">
        <fgColor theme="5"/>
        <bgColor rgb="FFFF6600"/>
      </patternFill>
    </fill>
    <fill>
      <patternFill patternType="solid">
        <fgColor theme="0"/>
        <bgColor rgb="FFF2F2F2"/>
      </patternFill>
    </fill>
    <fill>
      <patternFill patternType="solid">
        <fgColor rgb="FFFFFF00"/>
        <bgColor rgb="FFFFCC00"/>
      </patternFill>
    </fill>
    <fill>
      <patternFill patternType="solid">
        <fgColor theme="5" tint="0.39988402966399123"/>
        <bgColor rgb="FFFFCC99"/>
      </patternFill>
    </fill>
    <fill>
      <patternFill patternType="mediumGray">
        <fgColor theme="3" tint="0.79989013336588644"/>
        <bgColor rgb="FFD9D9D9"/>
      </patternFill>
    </fill>
    <fill>
      <patternFill patternType="solid">
        <fgColor theme="4" tint="-0.249977111117893"/>
        <bgColor rgb="FF4472C4"/>
      </patternFill>
    </fill>
    <fill>
      <patternFill patternType="solid">
        <fgColor theme="2" tint="-9.9978637043366805E-2"/>
        <bgColor rgb="FFD9D9D9"/>
      </patternFill>
    </fill>
    <fill>
      <patternFill patternType="darkGray">
        <fgColor theme="2" tint="-0.499984740745262"/>
        <bgColor rgb="FF7F7F7F"/>
      </patternFill>
    </fill>
    <fill>
      <patternFill patternType="solid">
        <fgColor theme="2"/>
        <bgColor rgb="FFEDEDED"/>
      </patternFill>
    </fill>
    <fill>
      <patternFill patternType="solid">
        <fgColor theme="0" tint="-0.14999847407452621"/>
        <bgColor rgb="FFDDDDDF"/>
      </patternFill>
    </fill>
    <fill>
      <patternFill patternType="solid">
        <fgColor theme="7" tint="0.79989013336588644"/>
        <bgColor rgb="FFFFFFCC"/>
      </patternFill>
    </fill>
    <fill>
      <patternFill patternType="solid">
        <fgColor theme="1" tint="0.49989318521683401"/>
        <bgColor rgb="FF808080"/>
      </patternFill>
    </fill>
    <fill>
      <patternFill patternType="solid">
        <fgColor rgb="FFDDDDDF"/>
        <bgColor rgb="FFD9D9D9"/>
      </patternFill>
    </fill>
    <fill>
      <patternFill patternType="solid">
        <fgColor theme="6" tint="0.79989013336588644"/>
        <bgColor rgb="FFF2F2F2"/>
      </patternFill>
    </fill>
    <fill>
      <patternFill patternType="solid">
        <fgColor theme="0" tint="-4.9989318521683403E-2"/>
        <bgColor rgb="FFEDEDED"/>
      </patternFill>
    </fill>
    <fill>
      <patternFill patternType="solid">
        <fgColor rgb="FFA9D18E"/>
        <bgColor rgb="FFA9D08E"/>
      </patternFill>
    </fill>
    <fill>
      <patternFill patternType="solid">
        <fgColor theme="5" tint="0.79989013336588644"/>
        <bgColor rgb="FFFFF2CC"/>
      </patternFill>
    </fill>
    <fill>
      <patternFill patternType="solid">
        <fgColor rgb="FF1F4E78"/>
        <bgColor rgb="FF333399"/>
      </patternFill>
    </fill>
    <fill>
      <patternFill patternType="solid">
        <fgColor rgb="FFD9E1F2"/>
        <bgColor rgb="FFDAE3F3"/>
      </patternFill>
    </fill>
    <fill>
      <patternFill patternType="solid">
        <fgColor rgb="FFA9D08E"/>
        <bgColor rgb="FFA9D18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165CA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/>
      <diagonal/>
    </border>
    <border>
      <left style="thin">
        <color theme="0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theme="0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auto="1"/>
      </right>
      <top style="thin">
        <color theme="0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theme="0"/>
      </left>
      <right/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theme="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</borders>
  <cellStyleXfs count="173">
    <xf numFmtId="0" fontId="0" fillId="0" borderId="0"/>
    <xf numFmtId="172" fontId="87" fillId="0" borderId="0"/>
    <xf numFmtId="165" fontId="87" fillId="0" borderId="0"/>
    <xf numFmtId="9" fontId="87" fillId="0" borderId="0"/>
    <xf numFmtId="0" fontId="50" fillId="0" borderId="0"/>
    <xf numFmtId="0" fontId="2" fillId="2" borderId="0"/>
    <xf numFmtId="0" fontId="2" fillId="3" borderId="0"/>
    <xf numFmtId="0" fontId="2" fillId="4" borderId="0"/>
    <xf numFmtId="0" fontId="2" fillId="5" borderId="0"/>
    <xf numFmtId="0" fontId="2" fillId="6" borderId="0"/>
    <xf numFmtId="0" fontId="2" fillId="7" borderId="0"/>
    <xf numFmtId="0" fontId="2" fillId="8" borderId="0"/>
    <xf numFmtId="0" fontId="2" fillId="9" borderId="0"/>
    <xf numFmtId="0" fontId="2" fillId="10" borderId="0"/>
    <xf numFmtId="0" fontId="2" fillId="5" borderId="0"/>
    <xf numFmtId="0" fontId="2" fillId="8" borderId="0"/>
    <xf numFmtId="0" fontId="2" fillId="11" borderId="0"/>
    <xf numFmtId="0" fontId="3" fillId="12" borderId="0"/>
    <xf numFmtId="0" fontId="3" fillId="9" borderId="0"/>
    <xf numFmtId="0" fontId="3" fillId="10" borderId="0"/>
    <xf numFmtId="0" fontId="87" fillId="13" borderId="0"/>
    <xf numFmtId="0" fontId="3" fillId="14" borderId="0"/>
    <xf numFmtId="0" fontId="3" fillId="15" borderId="0"/>
    <xf numFmtId="0" fontId="3" fillId="16" borderId="0"/>
    <xf numFmtId="0" fontId="4" fillId="4" borderId="0"/>
    <xf numFmtId="0" fontId="5" fillId="17" borderId="1"/>
    <xf numFmtId="0" fontId="6" fillId="18" borderId="2"/>
    <xf numFmtId="0" fontId="7" fillId="0" borderId="3"/>
    <xf numFmtId="0" fontId="8" fillId="7" borderId="1"/>
    <xf numFmtId="164" fontId="9" fillId="0" borderId="0"/>
    <xf numFmtId="0" fontId="10" fillId="0" borderId="0">
      <alignment horizontal="center"/>
    </xf>
    <xf numFmtId="0" fontId="10" fillId="0" borderId="0">
      <alignment horizontal="center" textRotation="90"/>
    </xf>
    <xf numFmtId="0" fontId="11" fillId="3" borderId="0"/>
    <xf numFmtId="165" fontId="87" fillId="0" borderId="0"/>
    <xf numFmtId="166" fontId="87" fillId="0" borderId="0"/>
    <xf numFmtId="167" fontId="9" fillId="0" borderId="0"/>
    <xf numFmtId="168" fontId="9" fillId="0" borderId="0"/>
    <xf numFmtId="166" fontId="9" fillId="0" borderId="0"/>
    <xf numFmtId="167" fontId="9" fillId="0" borderId="0"/>
    <xf numFmtId="169" fontId="87" fillId="0" borderId="0"/>
    <xf numFmtId="167" fontId="9" fillId="0" borderId="0"/>
    <xf numFmtId="169" fontId="87" fillId="0" borderId="0"/>
    <xf numFmtId="166" fontId="9" fillId="0" borderId="0"/>
    <xf numFmtId="166" fontId="9" fillId="0" borderId="0"/>
    <xf numFmtId="166" fontId="9" fillId="0" borderId="0"/>
    <xf numFmtId="22" fontId="2" fillId="0" borderId="0"/>
    <xf numFmtId="166" fontId="87" fillId="0" borderId="0"/>
    <xf numFmtId="166" fontId="87" fillId="0" borderId="0"/>
    <xf numFmtId="167" fontId="9" fillId="0" borderId="0"/>
    <xf numFmtId="166" fontId="87" fillId="0" borderId="0"/>
    <xf numFmtId="166" fontId="87" fillId="0" borderId="0"/>
    <xf numFmtId="167" fontId="2" fillId="0" borderId="0"/>
    <xf numFmtId="167" fontId="2" fillId="0" borderId="0"/>
    <xf numFmtId="167" fontId="9" fillId="0" borderId="0"/>
    <xf numFmtId="0" fontId="2" fillId="0" borderId="0"/>
    <xf numFmtId="167" fontId="9" fillId="0" borderId="0"/>
    <xf numFmtId="167" fontId="9" fillId="0" borderId="0"/>
    <xf numFmtId="167" fontId="9" fillId="0" borderId="0"/>
    <xf numFmtId="166" fontId="9" fillId="0" borderId="0"/>
    <xf numFmtId="166" fontId="9" fillId="0" borderId="0"/>
    <xf numFmtId="166" fontId="87" fillId="0" borderId="0"/>
    <xf numFmtId="0" fontId="12" fillId="19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7" fillId="0" borderId="0"/>
    <xf numFmtId="0" fontId="13" fillId="0" borderId="0"/>
    <xf numFmtId="0" fontId="14" fillId="0" borderId="0"/>
    <xf numFmtId="0" fontId="87" fillId="0" borderId="0"/>
    <xf numFmtId="0" fontId="15" fillId="0" borderId="0"/>
    <xf numFmtId="0" fontId="2" fillId="0" borderId="0"/>
    <xf numFmtId="0" fontId="87" fillId="0" borderId="0"/>
    <xf numFmtId="0" fontId="87" fillId="0" borderId="0"/>
    <xf numFmtId="0" fontId="2" fillId="0" borderId="0"/>
    <xf numFmtId="0" fontId="9" fillId="0" borderId="0"/>
    <xf numFmtId="0" fontId="16" fillId="0" borderId="0"/>
    <xf numFmtId="17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0" borderId="4"/>
    <xf numFmtId="9" fontId="9" fillId="0" borderId="0"/>
    <xf numFmtId="9" fontId="9" fillId="0" borderId="0"/>
    <xf numFmtId="9" fontId="9" fillId="0" borderId="0"/>
    <xf numFmtId="9" fontId="9" fillId="0" borderId="0"/>
    <xf numFmtId="9" fontId="9" fillId="0" borderId="0"/>
    <xf numFmtId="9" fontId="9" fillId="0" borderId="0"/>
    <xf numFmtId="9" fontId="87" fillId="0" borderId="0"/>
    <xf numFmtId="9" fontId="87" fillId="0" borderId="0"/>
    <xf numFmtId="9" fontId="2" fillId="0" borderId="0"/>
    <xf numFmtId="9" fontId="2" fillId="0" borderId="0"/>
    <xf numFmtId="9" fontId="9" fillId="0" borderId="0"/>
    <xf numFmtId="9" fontId="2" fillId="0" borderId="0"/>
    <xf numFmtId="9" fontId="9" fillId="0" borderId="0"/>
    <xf numFmtId="0" fontId="17" fillId="0" borderId="0"/>
    <xf numFmtId="171" fontId="17" fillId="0" borderId="0"/>
    <xf numFmtId="0" fontId="18" fillId="17" borderId="5"/>
    <xf numFmtId="172" fontId="9" fillId="0" borderId="0"/>
    <xf numFmtId="172" fontId="9" fillId="0" borderId="0"/>
    <xf numFmtId="172" fontId="9" fillId="0" borderId="0"/>
    <xf numFmtId="172" fontId="9" fillId="0" borderId="0"/>
    <xf numFmtId="172" fontId="2" fillId="0" borderId="0"/>
    <xf numFmtId="172" fontId="2" fillId="0" borderId="0"/>
    <xf numFmtId="172" fontId="2" fillId="0" borderId="0"/>
    <xf numFmtId="172" fontId="9" fillId="0" borderId="0"/>
    <xf numFmtId="172" fontId="9" fillId="0" borderId="0"/>
    <xf numFmtId="172" fontId="2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0" fontId="19" fillId="0" borderId="0"/>
    <xf numFmtId="0" fontId="20" fillId="0" borderId="0"/>
    <xf numFmtId="0" fontId="21" fillId="0" borderId="6"/>
    <xf numFmtId="0" fontId="22" fillId="0" borderId="0"/>
    <xf numFmtId="0" fontId="23" fillId="0" borderId="7"/>
    <xf numFmtId="0" fontId="24" fillId="0" borderId="8"/>
    <xf numFmtId="0" fontId="25" fillId="0" borderId="9"/>
    <xf numFmtId="0" fontId="25" fillId="0" borderId="0"/>
    <xf numFmtId="0" fontId="22" fillId="0" borderId="0"/>
    <xf numFmtId="172" fontId="9" fillId="0" borderId="0"/>
    <xf numFmtId="172" fontId="9" fillId="0" borderId="0"/>
    <xf numFmtId="172" fontId="9" fillId="0" borderId="0"/>
    <xf numFmtId="172" fontId="87" fillId="0" borderId="0"/>
    <xf numFmtId="172" fontId="87" fillId="0" borderId="0"/>
    <xf numFmtId="172" fontId="87" fillId="0" borderId="0"/>
    <xf numFmtId="172" fontId="9" fillId="0" borderId="0"/>
    <xf numFmtId="172" fontId="9" fillId="0" borderId="0"/>
    <xf numFmtId="172" fontId="87" fillId="0" borderId="0"/>
    <xf numFmtId="172" fontId="87" fillId="0" borderId="0"/>
    <xf numFmtId="172" fontId="9" fillId="0" borderId="0"/>
    <xf numFmtId="172" fontId="9" fillId="0" borderId="0"/>
    <xf numFmtId="173" fontId="9" fillId="0" borderId="0"/>
    <xf numFmtId="172" fontId="15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2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9" fillId="0" borderId="0"/>
    <xf numFmtId="172" fontId="87" fillId="0" borderId="0"/>
    <xf numFmtId="172" fontId="87" fillId="0" borderId="0"/>
    <xf numFmtId="0" fontId="3" fillId="21" borderId="0"/>
    <xf numFmtId="0" fontId="3" fillId="22" borderId="0"/>
    <xf numFmtId="0" fontId="3" fillId="23" borderId="0"/>
    <xf numFmtId="0" fontId="3" fillId="14" borderId="0"/>
    <xf numFmtId="0" fontId="3" fillId="15" borderId="0"/>
    <xf numFmtId="0" fontId="3" fillId="24" borderId="0"/>
    <xf numFmtId="0" fontId="27" fillId="25" borderId="0"/>
    <xf numFmtId="0" fontId="27" fillId="26" borderId="0"/>
    <xf numFmtId="0" fontId="87" fillId="27" borderId="0"/>
    <xf numFmtId="0" fontId="87" fillId="28" borderId="0"/>
    <xf numFmtId="0" fontId="27" fillId="29" borderId="0"/>
    <xf numFmtId="0" fontId="87" fillId="30" borderId="0"/>
    <xf numFmtId="0" fontId="87" fillId="31" borderId="0"/>
    <xf numFmtId="0" fontId="87" fillId="32" borderId="0"/>
    <xf numFmtId="0" fontId="27" fillId="33" borderId="0"/>
    <xf numFmtId="0" fontId="87" fillId="34" borderId="0"/>
    <xf numFmtId="0" fontId="87" fillId="35" borderId="0"/>
    <xf numFmtId="0" fontId="27" fillId="36" borderId="0"/>
  </cellStyleXfs>
  <cellXfs count="734">
    <xf numFmtId="0" fontId="0" fillId="0" borderId="0" xfId="0"/>
    <xf numFmtId="0" fontId="14" fillId="0" borderId="0" xfId="0" applyFont="1"/>
    <xf numFmtId="0" fontId="26" fillId="0" borderId="10" xfId="64" applyFont="1" applyBorder="1"/>
    <xf numFmtId="0" fontId="28" fillId="25" borderId="11" xfId="161" applyFont="1" applyBorder="1" applyAlignment="1">
      <alignment horizontal="center" vertical="center"/>
    </xf>
    <xf numFmtId="0" fontId="26" fillId="37" borderId="12" xfId="161" applyFont="1" applyFill="1" applyBorder="1" applyAlignment="1">
      <alignment horizontal="left" vertical="center"/>
    </xf>
    <xf numFmtId="0" fontId="29" fillId="37" borderId="13" xfId="161" applyFont="1" applyFill="1" applyBorder="1" applyAlignment="1">
      <alignment horizontal="left" vertical="center"/>
    </xf>
    <xf numFmtId="2" fontId="28" fillId="0" borderId="14" xfId="162" applyNumberFormat="1" applyFont="1" applyFill="1" applyBorder="1" applyAlignment="1">
      <alignment horizontal="left" vertical="center" wrapText="1"/>
    </xf>
    <xf numFmtId="0" fontId="30" fillId="0" borderId="15" xfId="162" applyFont="1" applyFill="1" applyBorder="1" applyAlignment="1">
      <alignment horizontal="left" vertical="center" wrapText="1"/>
    </xf>
    <xf numFmtId="0" fontId="26" fillId="0" borderId="15" xfId="64" applyFont="1" applyBorder="1" applyAlignment="1">
      <alignment horizontal="center" vertical="center"/>
    </xf>
    <xf numFmtId="0" fontId="26" fillId="0" borderId="15" xfId="64" applyFont="1" applyBorder="1"/>
    <xf numFmtId="0" fontId="29" fillId="0" borderId="16" xfId="162" applyFont="1" applyFill="1" applyBorder="1" applyAlignment="1">
      <alignment horizontal="center" vertical="center"/>
    </xf>
    <xf numFmtId="0" fontId="26" fillId="0" borderId="16" xfId="163" applyFont="1" applyFill="1" applyBorder="1" applyAlignment="1">
      <alignment horizontal="left" vertical="center"/>
    </xf>
    <xf numFmtId="2" fontId="26" fillId="0" borderId="16" xfId="163" applyNumberFormat="1" applyFont="1" applyFill="1" applyBorder="1" applyAlignment="1">
      <alignment horizontal="center" vertical="center"/>
    </xf>
    <xf numFmtId="2" fontId="87" fillId="0" borderId="14" xfId="163" applyNumberFormat="1" applyFill="1" applyBorder="1" applyAlignment="1">
      <alignment horizontal="center" vertical="center"/>
    </xf>
    <xf numFmtId="174" fontId="14" fillId="0" borderId="15" xfId="163" applyNumberFormat="1" applyFont="1" applyFill="1" applyBorder="1" applyAlignment="1">
      <alignment horizontal="center" vertical="center"/>
    </xf>
    <xf numFmtId="2" fontId="87" fillId="0" borderId="15" xfId="163" applyNumberFormat="1" applyFill="1" applyBorder="1" applyAlignment="1">
      <alignment horizontal="center" vertical="center"/>
    </xf>
    <xf numFmtId="175" fontId="26" fillId="0" borderId="16" xfId="163" applyNumberFormat="1" applyFont="1" applyFill="1" applyBorder="1" applyAlignment="1">
      <alignment horizontal="center" vertical="center"/>
    </xf>
    <xf numFmtId="175" fontId="87" fillId="0" borderId="15" xfId="163" applyNumberFormat="1" applyFill="1" applyBorder="1" applyAlignment="1">
      <alignment horizontal="center" vertical="center"/>
    </xf>
    <xf numFmtId="176" fontId="14" fillId="0" borderId="15" xfId="163" applyNumberFormat="1" applyFont="1" applyFill="1" applyBorder="1" applyAlignment="1">
      <alignment horizontal="center" vertical="center"/>
    </xf>
    <xf numFmtId="177" fontId="14" fillId="0" borderId="15" xfId="163" applyNumberFormat="1" applyFont="1" applyFill="1" applyBorder="1" applyAlignment="1">
      <alignment horizontal="center" vertical="center"/>
    </xf>
    <xf numFmtId="0" fontId="14" fillId="0" borderId="15" xfId="163" applyFont="1" applyFill="1" applyBorder="1" applyAlignment="1">
      <alignment horizontal="center" vertical="center"/>
    </xf>
    <xf numFmtId="0" fontId="87" fillId="0" borderId="15" xfId="163" applyFill="1" applyBorder="1" applyAlignment="1">
      <alignment horizontal="center" vertical="center"/>
    </xf>
    <xf numFmtId="0" fontId="28" fillId="0" borderId="18" xfId="162" applyFont="1" applyFill="1" applyBorder="1" applyAlignment="1">
      <alignment horizontal="center" vertical="center"/>
    </xf>
    <xf numFmtId="0" fontId="87" fillId="0" borderId="18" xfId="163" applyFill="1" applyBorder="1" applyAlignment="1">
      <alignment horizontal="left" vertical="center"/>
    </xf>
    <xf numFmtId="168" fontId="87" fillId="0" borderId="18" xfId="2" applyNumberFormat="1" applyBorder="1" applyAlignment="1">
      <alignment horizontal="center" vertical="center"/>
    </xf>
    <xf numFmtId="168" fontId="14" fillId="0" borderId="18" xfId="2" applyNumberFormat="1" applyFont="1" applyBorder="1" applyAlignment="1">
      <alignment horizontal="center" vertical="center"/>
    </xf>
    <xf numFmtId="0" fontId="26" fillId="0" borderId="18" xfId="64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2" fillId="0" borderId="0" xfId="0" applyFont="1"/>
    <xf numFmtId="0" fontId="28" fillId="37" borderId="12" xfId="161" applyFont="1" applyFill="1" applyBorder="1" applyAlignment="1">
      <alignment horizontal="left" vertical="center"/>
    </xf>
    <xf numFmtId="0" fontId="30" fillId="37" borderId="13" xfId="161" applyFont="1" applyFill="1" applyBorder="1" applyAlignment="1">
      <alignment horizontal="left" vertical="center"/>
    </xf>
    <xf numFmtId="0" fontId="28" fillId="0" borderId="0" xfId="161" applyFont="1" applyFill="1" applyAlignment="1">
      <alignment horizontal="center" vertical="center"/>
    </xf>
    <xf numFmtId="0" fontId="29" fillId="38" borderId="16" xfId="162" applyFont="1" applyFill="1" applyBorder="1" applyAlignment="1">
      <alignment horizontal="center" vertical="center"/>
    </xf>
    <xf numFmtId="0" fontId="26" fillId="38" borderId="16" xfId="163" applyFont="1" applyFill="1" applyBorder="1" applyAlignment="1">
      <alignment horizontal="left" vertical="center"/>
    </xf>
    <xf numFmtId="0" fontId="26" fillId="38" borderId="16" xfId="163" applyFont="1" applyFill="1" applyBorder="1" applyAlignment="1">
      <alignment vertical="center" wrapText="1"/>
    </xf>
    <xf numFmtId="0" fontId="33" fillId="38" borderId="16" xfId="163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6" fillId="38" borderId="16" xfId="164" applyFont="1" applyFill="1" applyBorder="1" applyAlignment="1">
      <alignment vertical="center"/>
    </xf>
    <xf numFmtId="0" fontId="33" fillId="38" borderId="16" xfId="164" applyFont="1" applyFill="1" applyBorder="1" applyAlignment="1">
      <alignment vertical="center" wrapText="1"/>
    </xf>
    <xf numFmtId="0" fontId="33" fillId="38" borderId="16" xfId="164" applyFont="1" applyFill="1" applyBorder="1" applyAlignment="1">
      <alignment horizontal="left" vertical="center" wrapText="1"/>
    </xf>
    <xf numFmtId="0" fontId="28" fillId="37" borderId="11" xfId="161" applyFont="1" applyFill="1" applyBorder="1" applyAlignment="1">
      <alignment horizontal="left" vertical="center"/>
    </xf>
    <xf numFmtId="0" fontId="28" fillId="37" borderId="11" xfId="161" applyFont="1" applyFill="1" applyBorder="1" applyAlignment="1">
      <alignment horizontal="center" vertical="center"/>
    </xf>
    <xf numFmtId="0" fontId="28" fillId="37" borderId="12" xfId="161" applyFont="1" applyFill="1" applyBorder="1" applyAlignment="1">
      <alignment horizontal="center" vertical="center"/>
    </xf>
    <xf numFmtId="0" fontId="28" fillId="37" borderId="13" xfId="161" applyFont="1" applyFill="1" applyBorder="1" applyAlignment="1">
      <alignment horizontal="center" vertical="center"/>
    </xf>
    <xf numFmtId="0" fontId="26" fillId="0" borderId="15" xfId="64" applyFont="1" applyBorder="1" applyAlignment="1">
      <alignment horizontal="center"/>
    </xf>
    <xf numFmtId="0" fontId="26" fillId="0" borderId="15" xfId="64" applyFont="1" applyBorder="1" applyAlignment="1">
      <alignment horizontal="right"/>
    </xf>
    <xf numFmtId="0" fontId="34" fillId="0" borderId="15" xfId="64" applyFont="1" applyBorder="1" applyAlignment="1">
      <alignment horizontal="center"/>
    </xf>
    <xf numFmtId="0" fontId="29" fillId="0" borderId="15" xfId="64" applyFont="1" applyBorder="1" applyAlignment="1">
      <alignment horizontal="center" vertical="center"/>
    </xf>
    <xf numFmtId="4" fontId="29" fillId="0" borderId="15" xfId="64" applyNumberFormat="1" applyFont="1" applyBorder="1" applyAlignment="1">
      <alignment horizontal="center" vertical="center"/>
    </xf>
    <xf numFmtId="9" fontId="29" fillId="0" borderId="15" xfId="2" applyNumberFormat="1" applyFont="1" applyBorder="1" applyAlignment="1">
      <alignment horizontal="center" vertical="center" wrapText="1"/>
    </xf>
    <xf numFmtId="10" fontId="29" fillId="0" borderId="15" xfId="2" applyNumberFormat="1" applyFont="1" applyBorder="1" applyAlignment="1">
      <alignment horizontal="center" vertical="center" wrapText="1"/>
    </xf>
    <xf numFmtId="0" fontId="29" fillId="0" borderId="15" xfId="64" applyFont="1" applyBorder="1" applyAlignment="1">
      <alignment horizontal="center" vertical="center" wrapText="1"/>
    </xf>
    <xf numFmtId="0" fontId="29" fillId="0" borderId="10" xfId="64" applyFont="1" applyBorder="1"/>
    <xf numFmtId="0" fontId="28" fillId="29" borderId="11" xfId="165" applyFont="1" applyBorder="1" applyAlignment="1">
      <alignment horizontal="center" vertical="center"/>
    </xf>
    <xf numFmtId="0" fontId="28" fillId="40" borderId="12" xfId="165" applyFont="1" applyFill="1" applyBorder="1" applyAlignment="1">
      <alignment horizontal="left" vertical="center"/>
    </xf>
    <xf numFmtId="0" fontId="30" fillId="40" borderId="13" xfId="165" applyFont="1" applyFill="1" applyBorder="1" applyAlignment="1">
      <alignment horizontal="left" vertical="center"/>
    </xf>
    <xf numFmtId="0" fontId="28" fillId="40" borderId="11" xfId="165" applyFont="1" applyFill="1" applyBorder="1" applyAlignment="1">
      <alignment horizontal="center" vertical="center"/>
    </xf>
    <xf numFmtId="0" fontId="28" fillId="40" borderId="12" xfId="165" applyFont="1" applyFill="1" applyBorder="1" applyAlignment="1">
      <alignment horizontal="center" vertical="center"/>
    </xf>
    <xf numFmtId="0" fontId="28" fillId="40" borderId="13" xfId="165" applyFont="1" applyFill="1" applyBorder="1" applyAlignment="1">
      <alignment horizontal="center" vertical="center"/>
    </xf>
    <xf numFmtId="0" fontId="29" fillId="0" borderId="14" xfId="64" applyFont="1" applyBorder="1"/>
    <xf numFmtId="0" fontId="29" fillId="0" borderId="15" xfId="64" applyFont="1" applyBorder="1"/>
    <xf numFmtId="0" fontId="29" fillId="0" borderId="16" xfId="64" applyFont="1" applyBorder="1" applyAlignment="1">
      <alignment horizontal="center"/>
    </xf>
    <xf numFmtId="0" fontId="26" fillId="0" borderId="16" xfId="64" applyFont="1" applyBorder="1" applyAlignment="1">
      <alignment horizontal="left"/>
    </xf>
    <xf numFmtId="0" fontId="26" fillId="38" borderId="16" xfId="163" applyFont="1" applyFill="1" applyBorder="1" applyAlignment="1">
      <alignment horizontal="left" vertical="center" wrapText="1"/>
    </xf>
    <xf numFmtId="0" fontId="34" fillId="38" borderId="16" xfId="163" applyFont="1" applyFill="1" applyBorder="1" applyAlignment="1">
      <alignment horizontal="left" vertical="center" wrapText="1"/>
    </xf>
    <xf numFmtId="10" fontId="26" fillId="0" borderId="16" xfId="3" applyNumberFormat="1" applyFont="1" applyBorder="1" applyAlignment="1">
      <alignment horizontal="center" vertical="center"/>
    </xf>
    <xf numFmtId="0" fontId="26" fillId="0" borderId="14" xfId="64" applyFont="1" applyBorder="1"/>
    <xf numFmtId="0" fontId="28" fillId="0" borderId="19" xfId="64" applyFont="1" applyBorder="1" applyAlignment="1">
      <alignment horizontal="center"/>
    </xf>
    <xf numFmtId="0" fontId="26" fillId="0" borderId="19" xfId="64" applyFont="1" applyBorder="1" applyAlignment="1">
      <alignment horizontal="right"/>
    </xf>
    <xf numFmtId="0" fontId="34" fillId="0" borderId="19" xfId="64" applyFont="1" applyBorder="1" applyAlignment="1">
      <alignment horizontal="right"/>
    </xf>
    <xf numFmtId="10" fontId="26" fillId="0" borderId="19" xfId="3" applyNumberFormat="1" applyFont="1" applyBorder="1" applyAlignment="1">
      <alignment horizontal="center" vertical="center"/>
    </xf>
    <xf numFmtId="10" fontId="26" fillId="0" borderId="16" xfId="64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6" fillId="0" borderId="16" xfId="164" applyFont="1" applyFill="1" applyBorder="1" applyAlignment="1">
      <alignment horizontal="left" vertical="center"/>
    </xf>
    <xf numFmtId="10" fontId="26" fillId="41" borderId="16" xfId="64" applyNumberFormat="1" applyFont="1" applyFill="1" applyBorder="1" applyAlignment="1">
      <alignment horizontal="center" vertical="center"/>
    </xf>
    <xf numFmtId="10" fontId="26" fillId="0" borderId="15" xfId="64" applyNumberFormat="1" applyFont="1" applyBorder="1"/>
    <xf numFmtId="0" fontId="35" fillId="0" borderId="16" xfId="164" applyFont="1" applyFill="1" applyBorder="1" applyAlignment="1">
      <alignment horizontal="left" vertical="center"/>
    </xf>
    <xf numFmtId="10" fontId="26" fillId="0" borderId="16" xfId="64" applyNumberFormat="1" applyFont="1" applyBorder="1" applyAlignment="1">
      <alignment horizontal="center"/>
    </xf>
    <xf numFmtId="10" fontId="26" fillId="32" borderId="16" xfId="64" applyNumberFormat="1" applyFont="1" applyFill="1" applyBorder="1" applyAlignment="1">
      <alignment horizontal="center" vertical="center"/>
    </xf>
    <xf numFmtId="0" fontId="26" fillId="0" borderId="16" xfId="3" applyNumberFormat="1" applyFont="1" applyBorder="1" applyAlignment="1">
      <alignment horizontal="center"/>
    </xf>
    <xf numFmtId="2" fontId="26" fillId="32" borderId="16" xfId="3" applyNumberFormat="1" applyFont="1" applyFill="1" applyBorder="1" applyAlignment="1">
      <alignment horizontal="center" vertical="center"/>
    </xf>
    <xf numFmtId="2" fontId="26" fillId="0" borderId="16" xfId="3" applyNumberFormat="1" applyFont="1" applyBorder="1" applyAlignment="1">
      <alignment horizontal="center" vertical="center"/>
    </xf>
    <xf numFmtId="0" fontId="27" fillId="40" borderId="12" xfId="165" applyFill="1" applyBorder="1" applyAlignment="1">
      <alignment horizontal="left" vertical="center"/>
    </xf>
    <xf numFmtId="10" fontId="28" fillId="40" borderId="16" xfId="3" applyNumberFormat="1" applyFont="1" applyFill="1" applyBorder="1" applyAlignment="1">
      <alignment horizontal="center" vertical="center"/>
    </xf>
    <xf numFmtId="0" fontId="26" fillId="0" borderId="15" xfId="64" applyFont="1" applyBorder="1" applyAlignment="1">
      <alignment horizontal="left"/>
    </xf>
    <xf numFmtId="10" fontId="28" fillId="0" borderId="18" xfId="64" applyNumberFormat="1" applyFont="1" applyBorder="1" applyAlignment="1">
      <alignment horizontal="center" vertical="center"/>
    </xf>
    <xf numFmtId="0" fontId="28" fillId="0" borderId="0" xfId="165" applyFont="1" applyFill="1" applyAlignment="1">
      <alignment horizontal="center" vertical="center"/>
    </xf>
    <xf numFmtId="0" fontId="33" fillId="38" borderId="16" xfId="163" applyFont="1" applyFill="1" applyBorder="1" applyAlignment="1">
      <alignment vertical="center" wrapText="1"/>
    </xf>
    <xf numFmtId="10" fontId="26" fillId="0" borderId="0" xfId="64" applyNumberFormat="1" applyFont="1" applyAlignment="1">
      <alignment horizontal="center" vertical="center"/>
    </xf>
    <xf numFmtId="10" fontId="28" fillId="0" borderId="19" xfId="64" applyNumberFormat="1" applyFont="1" applyBorder="1" applyAlignment="1">
      <alignment horizontal="center" vertical="center"/>
    </xf>
    <xf numFmtId="0" fontId="36" fillId="38" borderId="15" xfId="62" applyFont="1" applyFill="1" applyBorder="1" applyAlignment="1">
      <alignment horizontal="center" vertical="center"/>
    </xf>
    <xf numFmtId="10" fontId="26" fillId="0" borderId="15" xfId="64" applyNumberFormat="1" applyFont="1" applyBorder="1" applyAlignment="1">
      <alignment horizontal="center" vertical="center"/>
    </xf>
    <xf numFmtId="0" fontId="26" fillId="0" borderId="16" xfId="163" applyFont="1" applyFill="1" applyBorder="1" applyAlignment="1">
      <alignment vertical="center"/>
    </xf>
    <xf numFmtId="9" fontId="26" fillId="0" borderId="16" xfId="3" applyFont="1" applyBorder="1" applyAlignment="1">
      <alignment horizontal="right" vertical="center"/>
    </xf>
    <xf numFmtId="9" fontId="34" fillId="0" borderId="16" xfId="3" applyFont="1" applyBorder="1" applyAlignment="1">
      <alignment horizontal="right" vertical="center"/>
    </xf>
    <xf numFmtId="9" fontId="26" fillId="0" borderId="16" xfId="3" applyFont="1" applyBorder="1" applyAlignment="1">
      <alignment horizontal="center" vertical="center"/>
    </xf>
    <xf numFmtId="174" fontId="26" fillId="0" borderId="16" xfId="163" applyNumberFormat="1" applyFont="1" applyFill="1" applyBorder="1" applyAlignment="1">
      <alignment horizontal="right" vertical="center"/>
    </xf>
    <xf numFmtId="174" fontId="34" fillId="0" borderId="16" xfId="163" applyNumberFormat="1" applyFont="1" applyFill="1" applyBorder="1" applyAlignment="1">
      <alignment horizontal="right" vertical="center"/>
    </xf>
    <xf numFmtId="174" fontId="26" fillId="0" borderId="16" xfId="163" applyNumberFormat="1" applyFont="1" applyFill="1" applyBorder="1" applyAlignment="1">
      <alignment horizontal="center" vertical="center"/>
    </xf>
    <xf numFmtId="0" fontId="26" fillId="0" borderId="19" xfId="64" applyFont="1" applyBorder="1" applyAlignment="1">
      <alignment horizontal="center"/>
    </xf>
    <xf numFmtId="0" fontId="26" fillId="0" borderId="19" xfId="64" applyFont="1" applyBorder="1" applyAlignment="1">
      <alignment horizontal="left"/>
    </xf>
    <xf numFmtId="0" fontId="34" fillId="0" borderId="19" xfId="64" applyFont="1" applyBorder="1" applyAlignment="1">
      <alignment horizontal="center"/>
    </xf>
    <xf numFmtId="10" fontId="26" fillId="0" borderId="19" xfId="64" applyNumberFormat="1" applyFont="1" applyBorder="1" applyAlignment="1">
      <alignment horizontal="center" vertical="center"/>
    </xf>
    <xf numFmtId="10" fontId="26" fillId="22" borderId="16" xfId="3" applyNumberFormat="1" applyFont="1" applyFill="1" applyBorder="1" applyAlignment="1">
      <alignment horizontal="center" vertical="center"/>
    </xf>
    <xf numFmtId="0" fontId="29" fillId="0" borderId="15" xfId="64" applyFont="1" applyBorder="1" applyAlignment="1">
      <alignment horizontal="center"/>
    </xf>
    <xf numFmtId="0" fontId="29" fillId="0" borderId="15" xfId="64" applyFont="1" applyBorder="1" applyAlignment="1">
      <alignment horizontal="left"/>
    </xf>
    <xf numFmtId="0" fontId="37" fillId="0" borderId="15" xfId="64" applyFont="1" applyBorder="1" applyAlignment="1">
      <alignment horizontal="center"/>
    </xf>
    <xf numFmtId="10" fontId="29" fillId="0" borderId="15" xfId="64" applyNumberFormat="1" applyFont="1" applyBorder="1" applyAlignment="1">
      <alignment horizontal="center" vertical="center"/>
    </xf>
    <xf numFmtId="0" fontId="26" fillId="0" borderId="16" xfId="162" applyFont="1" applyFill="1" applyBorder="1" applyAlignment="1">
      <alignment horizontal="center" vertical="center"/>
    </xf>
    <xf numFmtId="174" fontId="26" fillId="32" borderId="16" xfId="163" applyNumberFormat="1" applyFont="1" applyFill="1" applyBorder="1" applyAlignment="1">
      <alignment horizontal="center" vertical="center"/>
    </xf>
    <xf numFmtId="10" fontId="26" fillId="0" borderId="16" xfId="3" applyNumberFormat="1" applyFont="1" applyBorder="1" applyAlignment="1">
      <alignment horizontal="right" vertical="center"/>
    </xf>
    <xf numFmtId="10" fontId="34" fillId="0" borderId="16" xfId="3" applyNumberFormat="1" applyFont="1" applyBorder="1" applyAlignment="1">
      <alignment horizontal="right" vertical="center"/>
    </xf>
    <xf numFmtId="10" fontId="26" fillId="32" borderId="16" xfId="3" applyNumberFormat="1" applyFont="1" applyFill="1" applyBorder="1" applyAlignment="1">
      <alignment horizontal="center" vertical="center"/>
    </xf>
    <xf numFmtId="176" fontId="26" fillId="0" borderId="16" xfId="163" applyNumberFormat="1" applyFont="1" applyFill="1" applyBorder="1" applyAlignment="1">
      <alignment horizontal="right" vertical="center"/>
    </xf>
    <xf numFmtId="176" fontId="34" fillId="0" borderId="16" xfId="163" applyNumberFormat="1" applyFont="1" applyFill="1" applyBorder="1" applyAlignment="1">
      <alignment horizontal="right" vertical="center"/>
    </xf>
    <xf numFmtId="176" fontId="26" fillId="32" borderId="16" xfId="163" applyNumberFormat="1" applyFont="1" applyFill="1" applyBorder="1" applyAlignment="1">
      <alignment horizontal="center" vertical="center"/>
    </xf>
    <xf numFmtId="10" fontId="26" fillId="0" borderId="16" xfId="3" applyNumberFormat="1" applyFont="1" applyBorder="1" applyAlignment="1">
      <alignment horizontal="left" vertical="center"/>
    </xf>
    <xf numFmtId="0" fontId="26" fillId="0" borderId="16" xfId="64" applyFont="1" applyBorder="1"/>
    <xf numFmtId="10" fontId="26" fillId="0" borderId="16" xfId="3" applyNumberFormat="1" applyFont="1" applyBorder="1" applyAlignment="1">
      <alignment horizontal="center" vertical="center" wrapText="1"/>
    </xf>
    <xf numFmtId="0" fontId="28" fillId="0" borderId="19" xfId="162" applyFont="1" applyFill="1" applyBorder="1" applyAlignment="1">
      <alignment horizontal="center" vertical="center"/>
    </xf>
    <xf numFmtId="0" fontId="87" fillId="0" borderId="19" xfId="163" applyFill="1" applyBorder="1" applyAlignment="1">
      <alignment horizontal="left" vertical="center"/>
    </xf>
    <xf numFmtId="10" fontId="87" fillId="0" borderId="19" xfId="3" applyNumberFormat="1" applyBorder="1" applyAlignment="1">
      <alignment horizontal="right" vertical="center"/>
    </xf>
    <xf numFmtId="10" fontId="14" fillId="0" borderId="19" xfId="3" applyNumberFormat="1" applyFont="1" applyBorder="1" applyAlignment="1">
      <alignment horizontal="right" vertical="center"/>
    </xf>
    <xf numFmtId="0" fontId="38" fillId="38" borderId="16" xfId="163" applyFont="1" applyFill="1" applyBorder="1" applyAlignment="1">
      <alignment horizontal="left" vertical="center" wrapText="1"/>
    </xf>
    <xf numFmtId="0" fontId="26" fillId="0" borderId="16" xfId="163" applyFont="1" applyFill="1" applyBorder="1" applyAlignment="1">
      <alignment horizontal="left" vertical="center" wrapText="1"/>
    </xf>
    <xf numFmtId="10" fontId="26" fillId="0" borderId="16" xfId="163" applyNumberFormat="1" applyFont="1" applyFill="1" applyBorder="1" applyAlignment="1">
      <alignment horizontal="center" vertical="center"/>
    </xf>
    <xf numFmtId="0" fontId="26" fillId="0" borderId="16" xfId="163" applyFont="1" applyFill="1" applyBorder="1" applyAlignment="1">
      <alignment horizontal="center" vertical="center"/>
    </xf>
    <xf numFmtId="178" fontId="26" fillId="0" borderId="16" xfId="1" applyNumberFormat="1" applyFont="1" applyBorder="1" applyAlignment="1">
      <alignment horizontal="center" vertical="center"/>
    </xf>
    <xf numFmtId="0" fontId="29" fillId="38" borderId="0" xfId="162" applyFont="1" applyFill="1" applyAlignment="1">
      <alignment horizontal="center" vertical="center"/>
    </xf>
    <xf numFmtId="0" fontId="26" fillId="38" borderId="0" xfId="163" applyFont="1" applyFill="1" applyAlignment="1">
      <alignment horizontal="left" vertical="center"/>
    </xf>
    <xf numFmtId="0" fontId="26" fillId="38" borderId="0" xfId="163" applyFont="1" applyFill="1" applyAlignment="1">
      <alignment vertical="center" wrapText="1"/>
    </xf>
    <xf numFmtId="0" fontId="26" fillId="38" borderId="0" xfId="163" applyFont="1" applyFill="1" applyAlignment="1">
      <alignment horizontal="left" vertical="center" wrapText="1"/>
    </xf>
    <xf numFmtId="0" fontId="34" fillId="38" borderId="0" xfId="163" applyFont="1" applyFill="1" applyAlignment="1">
      <alignment horizontal="left" vertical="center" wrapText="1"/>
    </xf>
    <xf numFmtId="0" fontId="26" fillId="0" borderId="0" xfId="163" applyFont="1" applyFill="1" applyAlignment="1">
      <alignment horizontal="center" vertical="center"/>
    </xf>
    <xf numFmtId="178" fontId="26" fillId="0" borderId="0" xfId="1" applyNumberFormat="1" applyFont="1" applyAlignment="1">
      <alignment horizontal="center" vertical="center"/>
    </xf>
    <xf numFmtId="0" fontId="39" fillId="0" borderId="0" xfId="0" applyFont="1"/>
    <xf numFmtId="0" fontId="32" fillId="0" borderId="0" xfId="0" applyFont="1" applyAlignment="1">
      <alignment horizontal="center" vertical="center"/>
    </xf>
    <xf numFmtId="0" fontId="33" fillId="0" borderId="16" xfId="163" applyFont="1" applyFill="1" applyBorder="1" applyAlignment="1">
      <alignment horizontal="left" vertical="center"/>
    </xf>
    <xf numFmtId="0" fontId="40" fillId="0" borderId="0" xfId="0" applyFont="1"/>
    <xf numFmtId="0" fontId="41" fillId="40" borderId="12" xfId="165" applyFont="1" applyFill="1" applyBorder="1" applyAlignment="1">
      <alignment horizontal="center" vertical="center"/>
    </xf>
    <xf numFmtId="0" fontId="41" fillId="40" borderId="13" xfId="165" applyFont="1" applyFill="1" applyBorder="1" applyAlignment="1">
      <alignment horizontal="left" vertical="center"/>
    </xf>
    <xf numFmtId="0" fontId="28" fillId="0" borderId="11" xfId="165" applyFont="1" applyFill="1" applyBorder="1" applyAlignment="1">
      <alignment horizontal="center" vertical="center"/>
    </xf>
    <xf numFmtId="0" fontId="28" fillId="0" borderId="12" xfId="165" applyFont="1" applyFill="1" applyBorder="1" applyAlignment="1">
      <alignment horizontal="left" vertical="center"/>
    </xf>
    <xf numFmtId="0" fontId="41" fillId="0" borderId="12" xfId="165" applyFont="1" applyFill="1" applyBorder="1" applyAlignment="1">
      <alignment horizontal="left" vertical="center"/>
    </xf>
    <xf numFmtId="0" fontId="41" fillId="0" borderId="13" xfId="165" applyFont="1" applyFill="1" applyBorder="1" applyAlignment="1">
      <alignment horizontal="left" vertical="center"/>
    </xf>
    <xf numFmtId="0" fontId="29" fillId="0" borderId="16" xfId="165" applyFont="1" applyFill="1" applyBorder="1" applyAlignment="1">
      <alignment horizontal="center" vertical="center"/>
    </xf>
    <xf numFmtId="10" fontId="87" fillId="0" borderId="16" xfId="3" applyNumberFormat="1" applyBorder="1" applyAlignment="1">
      <alignment horizontal="center" vertical="center"/>
    </xf>
    <xf numFmtId="0" fontId="26" fillId="38" borderId="20" xfId="163" applyFont="1" applyFill="1" applyBorder="1" applyAlignment="1">
      <alignment horizontal="left" vertical="center"/>
    </xf>
    <xf numFmtId="0" fontId="33" fillId="0" borderId="20" xfId="163" applyFont="1" applyFill="1" applyBorder="1" applyAlignment="1">
      <alignment horizontal="left" vertical="center"/>
    </xf>
    <xf numFmtId="0" fontId="29" fillId="38" borderId="11" xfId="162" applyFont="1" applyFill="1" applyBorder="1" applyAlignment="1">
      <alignment horizontal="center" vertical="center"/>
    </xf>
    <xf numFmtId="0" fontId="33" fillId="0" borderId="13" xfId="163" applyFont="1" applyFill="1" applyBorder="1" applyAlignment="1">
      <alignment horizontal="left" vertical="center"/>
    </xf>
    <xf numFmtId="0" fontId="26" fillId="38" borderId="21" xfId="163" applyFont="1" applyFill="1" applyBorder="1" applyAlignment="1">
      <alignment horizontal="left" vertical="center"/>
    </xf>
    <xf numFmtId="0" fontId="33" fillId="0" borderId="21" xfId="163" applyFont="1" applyFill="1" applyBorder="1" applyAlignment="1">
      <alignment horizontal="left" vertical="center"/>
    </xf>
    <xf numFmtId="0" fontId="28" fillId="37" borderId="16" xfId="161" applyFont="1" applyFill="1" applyBorder="1" applyAlignment="1">
      <alignment horizontal="center" vertical="center" wrapText="1"/>
    </xf>
    <xf numFmtId="0" fontId="28" fillId="37" borderId="20" xfId="161" applyFont="1" applyFill="1" applyBorder="1" applyAlignment="1">
      <alignment horizontal="center" vertical="center" wrapText="1"/>
    </xf>
    <xf numFmtId="0" fontId="87" fillId="30" borderId="11" xfId="166" applyBorder="1" applyAlignment="1">
      <alignment horizontal="center"/>
    </xf>
    <xf numFmtId="0" fontId="87" fillId="30" borderId="13" xfId="166" applyBorder="1" applyAlignment="1">
      <alignment horizontal="left"/>
    </xf>
    <xf numFmtId="0" fontId="87" fillId="30" borderId="16" xfId="166" applyBorder="1" applyAlignment="1">
      <alignment horizontal="center"/>
    </xf>
    <xf numFmtId="0" fontId="14" fillId="30" borderId="16" xfId="166" applyFont="1" applyBorder="1" applyAlignment="1">
      <alignment horizontal="center"/>
    </xf>
    <xf numFmtId="0" fontId="87" fillId="30" borderId="16" xfId="166" applyBorder="1" applyAlignment="1">
      <alignment horizontal="center" vertical="center"/>
    </xf>
    <xf numFmtId="4" fontId="87" fillId="30" borderId="16" xfId="166" applyNumberFormat="1" applyBorder="1" applyAlignment="1">
      <alignment horizontal="center" vertical="center"/>
    </xf>
    <xf numFmtId="168" fontId="87" fillId="30" borderId="16" xfId="166" applyNumberFormat="1" applyBorder="1" applyAlignment="1">
      <alignment horizontal="center" vertical="center" wrapText="1"/>
    </xf>
    <xf numFmtId="0" fontId="87" fillId="30" borderId="16" xfId="166" applyBorder="1" applyAlignment="1">
      <alignment horizontal="center" vertical="center" wrapText="1"/>
    </xf>
    <xf numFmtId="10" fontId="87" fillId="30" borderId="16" xfId="166" applyNumberFormat="1" applyBorder="1" applyAlignment="1">
      <alignment horizontal="center" vertical="center" wrapText="1"/>
    </xf>
    <xf numFmtId="9" fontId="87" fillId="30" borderId="16" xfId="166" applyNumberFormat="1" applyBorder="1" applyAlignment="1">
      <alignment horizontal="center" vertical="center" wrapText="1"/>
    </xf>
    <xf numFmtId="0" fontId="28" fillId="25" borderId="16" xfId="161" applyFont="1" applyBorder="1" applyAlignment="1">
      <alignment horizontal="center" vertical="center" wrapText="1"/>
    </xf>
    <xf numFmtId="0" fontId="0" fillId="42" borderId="16" xfId="0" applyFill="1" applyBorder="1"/>
    <xf numFmtId="178" fontId="14" fillId="0" borderId="0" xfId="1" applyNumberFormat="1" applyFont="1" applyAlignment="1">
      <alignment horizontal="right"/>
    </xf>
    <xf numFmtId="0" fontId="27" fillId="25" borderId="16" xfId="0" applyFont="1" applyFill="1" applyBorder="1" applyAlignment="1">
      <alignment horizontal="center"/>
    </xf>
    <xf numFmtId="178" fontId="14" fillId="0" borderId="0" xfId="1" applyNumberFormat="1" applyFont="1"/>
    <xf numFmtId="168" fontId="0" fillId="0" borderId="0" xfId="0" applyNumberFormat="1"/>
    <xf numFmtId="0" fontId="0" fillId="0" borderId="0" xfId="0" applyAlignment="1">
      <alignment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10" fontId="26" fillId="0" borderId="0" xfId="0" applyNumberFormat="1" applyFont="1" applyAlignment="1">
      <alignment horizontal="right" vertical="center"/>
    </xf>
    <xf numFmtId="0" fontId="42" fillId="43" borderId="22" xfId="161" applyFont="1" applyFill="1" applyBorder="1" applyAlignment="1">
      <alignment vertical="center"/>
    </xf>
    <xf numFmtId="0" fontId="42" fillId="43" borderId="0" xfId="161" applyFont="1" applyFill="1" applyAlignment="1">
      <alignment vertical="center"/>
    </xf>
    <xf numFmtId="0" fontId="43" fillId="43" borderId="0" xfId="161" applyFont="1" applyFill="1" applyAlignment="1">
      <alignment vertical="center"/>
    </xf>
    <xf numFmtId="0" fontId="42" fillId="43" borderId="24" xfId="161" applyFont="1" applyFill="1" applyBorder="1" applyAlignment="1">
      <alignment vertical="center"/>
    </xf>
    <xf numFmtId="0" fontId="43" fillId="43" borderId="24" xfId="161" applyFont="1" applyFill="1" applyBorder="1" applyAlignment="1">
      <alignment vertical="center"/>
    </xf>
    <xf numFmtId="0" fontId="0" fillId="0" borderId="25" xfId="0" applyBorder="1" applyAlignment="1">
      <alignment vertical="center"/>
    </xf>
    <xf numFmtId="0" fontId="44" fillId="0" borderId="0" xfId="64" applyFont="1" applyAlignment="1">
      <alignment horizontal="center" vertical="center" wrapText="1"/>
    </xf>
    <xf numFmtId="0" fontId="26" fillId="0" borderId="26" xfId="167" applyFont="1" applyFill="1" applyBorder="1" applyAlignment="1">
      <alignment horizontal="center" vertical="center"/>
    </xf>
    <xf numFmtId="0" fontId="26" fillId="0" borderId="24" xfId="0" applyFont="1" applyBorder="1" applyAlignment="1">
      <alignment horizontal="left" vertical="center"/>
    </xf>
    <xf numFmtId="49" fontId="26" fillId="0" borderId="0" xfId="0" applyNumberFormat="1" applyFont="1" applyAlignment="1">
      <alignment horizontal="center"/>
    </xf>
    <xf numFmtId="0" fontId="26" fillId="0" borderId="11" xfId="168" applyFont="1" applyFill="1" applyBorder="1" applyAlignment="1">
      <alignment horizontal="center" vertical="center"/>
    </xf>
    <xf numFmtId="0" fontId="26" fillId="0" borderId="12" xfId="0" applyFont="1" applyBorder="1" applyAlignment="1">
      <alignment horizontal="left" vertical="center"/>
    </xf>
    <xf numFmtId="0" fontId="26" fillId="0" borderId="11" xfId="167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49" fontId="26" fillId="0" borderId="0" xfId="0" applyNumberFormat="1" applyFont="1" applyAlignment="1" applyProtection="1">
      <alignment horizontal="center" vertical="top"/>
      <protection locked="0"/>
    </xf>
    <xf numFmtId="177" fontId="26" fillId="0" borderId="0" xfId="0" applyNumberFormat="1" applyFont="1" applyAlignment="1">
      <alignment horizontal="center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 applyAlignment="1" applyProtection="1">
      <alignment horizontal="center" vertical="center"/>
      <protection locked="0"/>
    </xf>
    <xf numFmtId="0" fontId="26" fillId="0" borderId="12" xfId="0" applyFont="1" applyBorder="1" applyAlignment="1">
      <alignment horizontal="left" vertical="center" wrapText="1"/>
    </xf>
    <xf numFmtId="179" fontId="26" fillId="0" borderId="0" xfId="0" applyNumberFormat="1" applyFont="1" applyAlignment="1" applyProtection="1">
      <alignment horizontal="center" vertical="center"/>
      <protection locked="0"/>
    </xf>
    <xf numFmtId="179" fontId="26" fillId="0" borderId="0" xfId="2" applyNumberFormat="1" applyFont="1" applyAlignment="1">
      <alignment horizontal="center" vertical="center"/>
    </xf>
    <xf numFmtId="179" fontId="26" fillId="0" borderId="0" xfId="2" applyNumberFormat="1" applyFont="1" applyAlignment="1">
      <alignment vertical="center"/>
    </xf>
    <xf numFmtId="0" fontId="26" fillId="0" borderId="13" xfId="0" applyFont="1" applyBorder="1" applyAlignment="1">
      <alignment horizontal="left" vertical="center"/>
    </xf>
    <xf numFmtId="179" fontId="46" fillId="0" borderId="0" xfId="2" applyNumberFormat="1" applyFont="1" applyAlignment="1">
      <alignment vertical="center"/>
    </xf>
    <xf numFmtId="179" fontId="46" fillId="0" borderId="0" xfId="2" applyNumberFormat="1" applyFont="1" applyAlignment="1">
      <alignment horizontal="center" vertical="center"/>
    </xf>
    <xf numFmtId="0" fontId="0" fillId="0" borderId="27" xfId="0" applyBorder="1" applyAlignment="1">
      <alignment vertical="center"/>
    </xf>
    <xf numFmtId="0" fontId="26" fillId="0" borderId="28" xfId="0" applyFont="1" applyBorder="1" applyAlignment="1">
      <alignment horizontal="center" vertical="center"/>
    </xf>
    <xf numFmtId="0" fontId="26" fillId="0" borderId="28" xfId="0" applyFont="1" applyBorder="1" applyAlignment="1">
      <alignment vertical="center"/>
    </xf>
    <xf numFmtId="10" fontId="26" fillId="0" borderId="28" xfId="0" applyNumberFormat="1" applyFont="1" applyBorder="1" applyAlignment="1">
      <alignment horizontal="right" vertical="center"/>
    </xf>
    <xf numFmtId="0" fontId="28" fillId="38" borderId="0" xfId="169" applyFont="1" applyFill="1" applyAlignment="1">
      <alignment horizontal="left" vertical="center"/>
    </xf>
    <xf numFmtId="0" fontId="28" fillId="44" borderId="11" xfId="161" applyFont="1" applyFill="1" applyBorder="1" applyAlignment="1">
      <alignment horizontal="center" vertical="center"/>
    </xf>
    <xf numFmtId="0" fontId="32" fillId="45" borderId="11" xfId="161" applyFont="1" applyFill="1" applyBorder="1" applyAlignment="1">
      <alignment horizontal="center" vertical="center"/>
    </xf>
    <xf numFmtId="0" fontId="32" fillId="45" borderId="12" xfId="161" applyFont="1" applyFill="1" applyBorder="1" applyAlignment="1">
      <alignment horizontal="left" vertical="center"/>
    </xf>
    <xf numFmtId="0" fontId="32" fillId="45" borderId="12" xfId="161" applyFont="1" applyFill="1" applyBorder="1" applyAlignment="1">
      <alignment vertical="center" wrapText="1"/>
    </xf>
    <xf numFmtId="0" fontId="32" fillId="45" borderId="16" xfId="161" applyFont="1" applyFill="1" applyBorder="1" applyAlignment="1">
      <alignment horizontal="center" vertical="center" wrapText="1"/>
    </xf>
    <xf numFmtId="0" fontId="28" fillId="38" borderId="29" xfId="168" applyFont="1" applyFill="1" applyBorder="1" applyAlignment="1">
      <alignment horizontal="left" vertical="center"/>
    </xf>
    <xf numFmtId="0" fontId="26" fillId="0" borderId="12" xfId="168" applyFont="1" applyFill="1" applyBorder="1" applyAlignment="1">
      <alignment vertical="center"/>
    </xf>
    <xf numFmtId="0" fontId="26" fillId="0" borderId="13" xfId="168" applyFont="1" applyFill="1" applyBorder="1" applyAlignment="1">
      <alignment vertical="center"/>
    </xf>
    <xf numFmtId="0" fontId="26" fillId="0" borderId="16" xfId="168" applyFont="1" applyFill="1" applyBorder="1" applyAlignment="1">
      <alignment horizontal="center" vertical="center"/>
    </xf>
    <xf numFmtId="0" fontId="28" fillId="38" borderId="29" xfId="167" applyFont="1" applyFill="1" applyBorder="1" applyAlignment="1">
      <alignment horizontal="left" vertical="center"/>
    </xf>
    <xf numFmtId="0" fontId="26" fillId="0" borderId="12" xfId="167" applyFont="1" applyFill="1" applyBorder="1" applyAlignment="1">
      <alignment vertical="center"/>
    </xf>
    <xf numFmtId="0" fontId="26" fillId="0" borderId="13" xfId="167" applyFont="1" applyFill="1" applyBorder="1" applyAlignment="1">
      <alignment vertical="center"/>
    </xf>
    <xf numFmtId="168" fontId="26" fillId="32" borderId="16" xfId="2" applyNumberFormat="1" applyFont="1" applyFill="1" applyBorder="1" applyAlignment="1" applyProtection="1">
      <alignment horizontal="center" vertical="center"/>
      <protection locked="0"/>
    </xf>
    <xf numFmtId="180" fontId="26" fillId="0" borderId="16" xfId="168" applyNumberFormat="1" applyFont="1" applyFill="1" applyBorder="1" applyAlignment="1">
      <alignment horizontal="center" vertical="center"/>
    </xf>
    <xf numFmtId="14" fontId="26" fillId="32" borderId="16" xfId="168" applyNumberFormat="1" applyFont="1" applyBorder="1" applyAlignment="1" applyProtection="1">
      <alignment horizontal="center" vertical="center"/>
      <protection locked="0"/>
    </xf>
    <xf numFmtId="0" fontId="28" fillId="38" borderId="0" xfId="168" applyFont="1" applyFill="1" applyAlignment="1">
      <alignment horizontal="left" vertical="center"/>
    </xf>
    <xf numFmtId="0" fontId="29" fillId="0" borderId="0" xfId="168" applyFont="1" applyFill="1" applyAlignment="1">
      <alignment horizontal="center" vertical="center"/>
    </xf>
    <xf numFmtId="0" fontId="29" fillId="0" borderId="0" xfId="168" applyFont="1" applyFill="1" applyAlignment="1">
      <alignment vertical="center"/>
    </xf>
    <xf numFmtId="0" fontId="28" fillId="38" borderId="30" xfId="166" applyFont="1" applyFill="1" applyBorder="1" applyAlignment="1">
      <alignment vertical="center"/>
    </xf>
    <xf numFmtId="0" fontId="29" fillId="46" borderId="11" xfId="161" applyFont="1" applyFill="1" applyBorder="1" applyAlignment="1">
      <alignment horizontal="center" vertical="center"/>
    </xf>
    <xf numFmtId="0" fontId="32" fillId="46" borderId="12" xfId="161" applyFont="1" applyFill="1" applyBorder="1" applyAlignment="1">
      <alignment horizontal="left" vertical="center"/>
    </xf>
    <xf numFmtId="0" fontId="47" fillId="46" borderId="12" xfId="161" applyFont="1" applyFill="1" applyBorder="1" applyAlignment="1">
      <alignment vertical="center"/>
    </xf>
    <xf numFmtId="168" fontId="47" fillId="46" borderId="12" xfId="161" applyNumberFormat="1" applyFont="1" applyFill="1" applyBorder="1" applyAlignment="1">
      <alignment vertical="center"/>
    </xf>
    <xf numFmtId="168" fontId="47" fillId="46" borderId="13" xfId="161" applyNumberFormat="1" applyFont="1" applyFill="1" applyBorder="1" applyAlignment="1">
      <alignment vertical="center"/>
    </xf>
    <xf numFmtId="0" fontId="28" fillId="38" borderId="0" xfId="166" applyFont="1" applyFill="1" applyAlignment="1">
      <alignment vertical="center"/>
    </xf>
    <xf numFmtId="0" fontId="32" fillId="0" borderId="11" xfId="163" applyFont="1" applyFill="1" applyBorder="1" applyAlignment="1">
      <alignment horizontal="center" vertical="center"/>
    </xf>
    <xf numFmtId="0" fontId="32" fillId="0" borderId="31" xfId="164" applyFont="1" applyFill="1" applyBorder="1" applyAlignment="1">
      <alignment vertical="center"/>
    </xf>
    <xf numFmtId="0" fontId="32" fillId="0" borderId="32" xfId="163" applyFont="1" applyFill="1" applyBorder="1" applyAlignment="1">
      <alignment horizontal="center" vertical="center"/>
    </xf>
    <xf numFmtId="0" fontId="48" fillId="0" borderId="33" xfId="0" applyFont="1" applyBorder="1" applyAlignment="1">
      <alignment horizontal="center" vertical="center"/>
    </xf>
    <xf numFmtId="0" fontId="32" fillId="0" borderId="29" xfId="163" applyFont="1" applyFill="1" applyBorder="1" applyAlignment="1">
      <alignment vertical="center"/>
    </xf>
    <xf numFmtId="0" fontId="32" fillId="0" borderId="0" xfId="163" applyFont="1" applyFill="1" applyAlignment="1">
      <alignment horizontal="center" vertical="center"/>
    </xf>
    <xf numFmtId="168" fontId="87" fillId="0" borderId="21" xfId="163" applyNumberForma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49" fillId="0" borderId="35" xfId="0" applyFont="1" applyBorder="1" applyAlignment="1">
      <alignment horizontal="left" vertical="center" indent="2"/>
    </xf>
    <xf numFmtId="0" fontId="87" fillId="0" borderId="36" xfId="164" applyFill="1" applyBorder="1" applyAlignment="1">
      <alignment horizontal="center" vertical="center"/>
    </xf>
    <xf numFmtId="9" fontId="49" fillId="0" borderId="37" xfId="164" applyNumberFormat="1" applyFont="1" applyFill="1" applyBorder="1" applyAlignment="1">
      <alignment horizontal="center" vertical="center"/>
    </xf>
    <xf numFmtId="0" fontId="48" fillId="0" borderId="0" xfId="164" applyFont="1" applyFill="1" applyAlignment="1">
      <alignment horizontal="left" vertical="center" indent="2"/>
    </xf>
    <xf numFmtId="0" fontId="32" fillId="0" borderId="38" xfId="164" applyFont="1" applyFill="1" applyBorder="1" applyAlignment="1">
      <alignment horizontal="center" vertical="center"/>
    </xf>
    <xf numFmtId="168" fontId="87" fillId="0" borderId="33" xfId="164" applyNumberFormat="1" applyFill="1" applyBorder="1" applyAlignment="1">
      <alignment horizontal="center" vertical="center"/>
    </xf>
    <xf numFmtId="0" fontId="32" fillId="0" borderId="40" xfId="170" applyFont="1" applyFill="1" applyBorder="1" applyAlignment="1">
      <alignment vertical="center"/>
    </xf>
    <xf numFmtId="0" fontId="32" fillId="0" borderId="32" xfId="170" applyFont="1" applyFill="1" applyBorder="1" applyAlignment="1">
      <alignment horizontal="center" vertical="center"/>
    </xf>
    <xf numFmtId="9" fontId="32" fillId="0" borderId="20" xfId="170" applyNumberFormat="1" applyFont="1" applyFill="1" applyBorder="1" applyAlignment="1">
      <alignment horizontal="center" vertical="center"/>
    </xf>
    <xf numFmtId="0" fontId="49" fillId="0" borderId="41" xfId="163" applyFont="1" applyFill="1" applyBorder="1" applyAlignment="1">
      <alignment horizontal="left" vertical="center" indent="2"/>
    </xf>
    <xf numFmtId="0" fontId="49" fillId="0" borderId="42" xfId="164" applyFont="1" applyFill="1" applyBorder="1" applyAlignment="1">
      <alignment horizontal="center" vertical="center"/>
    </xf>
    <xf numFmtId="9" fontId="49" fillId="0" borderId="43" xfId="164" applyNumberFormat="1" applyFont="1" applyFill="1" applyBorder="1" applyAlignment="1">
      <alignment horizontal="center" vertical="center"/>
    </xf>
    <xf numFmtId="168" fontId="0" fillId="0" borderId="0" xfId="0" applyNumberFormat="1" applyAlignment="1">
      <alignment vertical="center"/>
    </xf>
    <xf numFmtId="0" fontId="32" fillId="0" borderId="44" xfId="164" applyFont="1" applyFill="1" applyBorder="1" applyAlignment="1">
      <alignment horizontal="center" vertical="center"/>
    </xf>
    <xf numFmtId="168" fontId="87" fillId="0" borderId="21" xfId="164" applyNumberFormat="1" applyFill="1" applyBorder="1" applyAlignment="1">
      <alignment horizontal="center" vertical="center"/>
    </xf>
    <xf numFmtId="168" fontId="87" fillId="0" borderId="47" xfId="164" applyNumberFormat="1" applyFill="1" applyBorder="1" applyAlignment="1">
      <alignment horizontal="center" vertical="center"/>
    </xf>
    <xf numFmtId="168" fontId="87" fillId="0" borderId="48" xfId="164" applyNumberFormat="1" applyFill="1" applyBorder="1" applyAlignment="1">
      <alignment horizontal="center" vertical="center"/>
    </xf>
    <xf numFmtId="0" fontId="48" fillId="0" borderId="49" xfId="164" applyFont="1" applyFill="1" applyBorder="1" applyAlignment="1">
      <alignment horizontal="left" vertical="center" indent="2"/>
    </xf>
    <xf numFmtId="0" fontId="32" fillId="0" borderId="50" xfId="164" applyFont="1" applyFill="1" applyBorder="1" applyAlignment="1">
      <alignment horizontal="center" vertical="center"/>
    </xf>
    <xf numFmtId="168" fontId="87" fillId="0" borderId="51" xfId="163" applyNumberFormat="1" applyFill="1" applyBorder="1" applyAlignment="1">
      <alignment horizontal="center" vertical="center"/>
    </xf>
    <xf numFmtId="0" fontId="28" fillId="38" borderId="27" xfId="166" applyFont="1" applyFill="1" applyBorder="1" applyAlignment="1">
      <alignment vertical="center"/>
    </xf>
    <xf numFmtId="0" fontId="32" fillId="46" borderId="11" xfId="161" applyFont="1" applyFill="1" applyBorder="1" applyAlignment="1">
      <alignment horizontal="left" vertical="center"/>
    </xf>
    <xf numFmtId="0" fontId="32" fillId="46" borderId="13" xfId="161" applyFont="1" applyFill="1" applyBorder="1" applyAlignment="1">
      <alignment vertical="center"/>
    </xf>
    <xf numFmtId="168" fontId="32" fillId="46" borderId="16" xfId="161" applyNumberFormat="1" applyFont="1" applyFill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36" fillId="0" borderId="52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38" borderId="0" xfId="62" applyFont="1" applyFill="1" applyAlignment="1">
      <alignment horizontal="left" vertical="center"/>
    </xf>
    <xf numFmtId="168" fontId="36" fillId="0" borderId="0" xfId="166" applyNumberFormat="1" applyFont="1" applyFill="1" applyAlignment="1">
      <alignment vertical="center"/>
    </xf>
    <xf numFmtId="0" fontId="28" fillId="0" borderId="0" xfId="166" applyFont="1" applyFill="1" applyAlignment="1">
      <alignment vertical="center"/>
    </xf>
    <xf numFmtId="0" fontId="32" fillId="46" borderId="11" xfId="161" applyFont="1" applyFill="1" applyBorder="1" applyAlignment="1">
      <alignment horizontal="center" vertical="center"/>
    </xf>
    <xf numFmtId="0" fontId="32" fillId="46" borderId="12" xfId="161" applyFont="1" applyFill="1" applyBorder="1" applyAlignment="1">
      <alignment vertical="center"/>
    </xf>
    <xf numFmtId="168" fontId="32" fillId="46" borderId="12" xfId="161" applyNumberFormat="1" applyFont="1" applyFill="1" applyBorder="1" applyAlignment="1">
      <alignment vertical="center"/>
    </xf>
    <xf numFmtId="168" fontId="32" fillId="46" borderId="13" xfId="161" applyNumberFormat="1" applyFont="1" applyFill="1" applyBorder="1" applyAlignment="1">
      <alignment vertical="center"/>
    </xf>
    <xf numFmtId="0" fontId="28" fillId="0" borderId="29" xfId="166" applyFont="1" applyFill="1" applyBorder="1" applyAlignment="1">
      <alignment vertical="center"/>
    </xf>
    <xf numFmtId="0" fontId="32" fillId="46" borderId="11" xfId="165" applyFont="1" applyFill="1" applyBorder="1" applyAlignment="1">
      <alignment horizontal="center" vertical="center"/>
    </xf>
    <xf numFmtId="0" fontId="32" fillId="46" borderId="12" xfId="165" applyFont="1" applyFill="1" applyBorder="1" applyAlignment="1">
      <alignment horizontal="left" vertical="center"/>
    </xf>
    <xf numFmtId="0" fontId="32" fillId="46" borderId="12" xfId="165" applyFont="1" applyFill="1" applyBorder="1" applyAlignment="1">
      <alignment vertical="center"/>
    </xf>
    <xf numFmtId="168" fontId="32" fillId="46" borderId="12" xfId="165" applyNumberFormat="1" applyFont="1" applyFill="1" applyBorder="1" applyAlignment="1">
      <alignment vertical="center"/>
    </xf>
    <xf numFmtId="168" fontId="32" fillId="46" borderId="13" xfId="165" applyNumberFormat="1" applyFont="1" applyFill="1" applyBorder="1" applyAlignment="1">
      <alignment vertical="center"/>
    </xf>
    <xf numFmtId="0" fontId="32" fillId="0" borderId="26" xfId="163" applyFont="1" applyFill="1" applyBorder="1" applyAlignment="1">
      <alignment horizontal="center" vertical="center"/>
    </xf>
    <xf numFmtId="0" fontId="32" fillId="0" borderId="53" xfId="163" applyFont="1" applyFill="1" applyBorder="1" applyAlignment="1">
      <alignment vertical="center"/>
    </xf>
    <xf numFmtId="10" fontId="32" fillId="22" borderId="44" xfId="3" applyNumberFormat="1" applyFont="1" applyFill="1" applyBorder="1" applyAlignment="1">
      <alignment horizontal="center" vertical="center"/>
    </xf>
    <xf numFmtId="168" fontId="87" fillId="0" borderId="24" xfId="163" applyNumberFormat="1" applyFill="1" applyBorder="1" applyAlignment="1">
      <alignment horizontal="center" vertical="center"/>
    </xf>
    <xf numFmtId="168" fontId="87" fillId="0" borderId="16" xfId="163" applyNumberFormat="1" applyFill="1" applyBorder="1" applyAlignment="1">
      <alignment horizontal="center" vertical="center"/>
    </xf>
    <xf numFmtId="10" fontId="32" fillId="22" borderId="13" xfId="3" applyNumberFormat="1" applyFont="1" applyFill="1" applyBorder="1" applyAlignment="1">
      <alignment horizontal="center" vertical="center"/>
    </xf>
    <xf numFmtId="168" fontId="87" fillId="0" borderId="12" xfId="163" applyNumberFormat="1" applyFill="1" applyBorder="1" applyAlignment="1">
      <alignment horizontal="center" vertical="center"/>
    </xf>
    <xf numFmtId="0" fontId="29" fillId="0" borderId="53" xfId="163" applyFont="1" applyFill="1" applyBorder="1" applyAlignment="1">
      <alignment vertical="center"/>
    </xf>
    <xf numFmtId="0" fontId="28" fillId="0" borderId="25" xfId="166" applyFont="1" applyFill="1" applyBorder="1" applyAlignment="1">
      <alignment vertical="center"/>
    </xf>
    <xf numFmtId="0" fontId="47" fillId="46" borderId="11" xfId="165" applyFont="1" applyFill="1" applyBorder="1" applyAlignment="1">
      <alignment horizontal="center" vertical="center"/>
    </xf>
    <xf numFmtId="0" fontId="32" fillId="46" borderId="13" xfId="165" applyFont="1" applyFill="1" applyBorder="1" applyAlignment="1">
      <alignment vertical="center"/>
    </xf>
    <xf numFmtId="168" fontId="32" fillId="46" borderId="11" xfId="165" applyNumberFormat="1" applyFont="1" applyFill="1" applyBorder="1" applyAlignment="1">
      <alignment vertical="center"/>
    </xf>
    <xf numFmtId="168" fontId="32" fillId="46" borderId="16" xfId="165" applyNumberFormat="1" applyFont="1" applyFill="1" applyBorder="1" applyAlignment="1">
      <alignment vertical="center"/>
    </xf>
    <xf numFmtId="10" fontId="32" fillId="0" borderId="16" xfId="3" applyNumberFormat="1" applyFont="1" applyBorder="1" applyAlignment="1">
      <alignment horizontal="center" vertical="center"/>
    </xf>
    <xf numFmtId="0" fontId="32" fillId="0" borderId="54" xfId="163" applyFont="1" applyFill="1" applyBorder="1" applyAlignment="1">
      <alignment vertical="center"/>
    </xf>
    <xf numFmtId="10" fontId="32" fillId="47" borderId="16" xfId="3" applyNumberFormat="1" applyFont="1" applyFill="1" applyBorder="1" applyAlignment="1">
      <alignment horizontal="center" vertical="center"/>
    </xf>
    <xf numFmtId="10" fontId="32" fillId="0" borderId="20" xfId="3" applyNumberFormat="1" applyFont="1" applyBorder="1" applyAlignment="1">
      <alignment horizontal="center" vertical="center"/>
    </xf>
    <xf numFmtId="168" fontId="87" fillId="0" borderId="31" xfId="163" applyNumberFormat="1" applyFill="1" applyBorder="1" applyAlignment="1">
      <alignment horizontal="center" vertical="center"/>
    </xf>
    <xf numFmtId="168" fontId="87" fillId="0" borderId="20" xfId="163" applyNumberFormat="1" applyFill="1" applyBorder="1" applyAlignment="1">
      <alignment horizontal="center" vertical="center"/>
    </xf>
    <xf numFmtId="168" fontId="87" fillId="0" borderId="32" xfId="163" applyNumberFormat="1" applyFill="1" applyBorder="1" applyAlignment="1">
      <alignment horizontal="center" vertical="center"/>
    </xf>
    <xf numFmtId="0" fontId="32" fillId="0" borderId="55" xfId="163" applyFont="1" applyFill="1" applyBorder="1" applyAlignment="1">
      <alignment vertical="center"/>
    </xf>
    <xf numFmtId="0" fontId="32" fillId="0" borderId="34" xfId="163" applyFont="1" applyFill="1" applyBorder="1" applyAlignment="1">
      <alignment horizontal="center" vertical="center"/>
    </xf>
    <xf numFmtId="0" fontId="49" fillId="0" borderId="56" xfId="163" applyFont="1" applyFill="1" applyBorder="1" applyAlignment="1">
      <alignment horizontal="left" vertical="center" indent="2"/>
    </xf>
    <xf numFmtId="10" fontId="87" fillId="32" borderId="11" xfId="163" applyNumberFormat="1" applyFill="1" applyBorder="1" applyAlignment="1" applyProtection="1">
      <alignment horizontal="center" vertical="center"/>
      <protection locked="0"/>
    </xf>
    <xf numFmtId="10" fontId="87" fillId="0" borderId="33" xfId="163" applyNumberFormat="1" applyFill="1" applyBorder="1" applyAlignment="1">
      <alignment horizontal="center" vertical="center"/>
    </xf>
    <xf numFmtId="0" fontId="49" fillId="0" borderId="57" xfId="163" applyFont="1" applyFill="1" applyBorder="1" applyAlignment="1">
      <alignment horizontal="left" vertical="center" indent="2"/>
    </xf>
    <xf numFmtId="2" fontId="87" fillId="32" borderId="26" xfId="1" applyNumberFormat="1" applyFill="1" applyBorder="1" applyAlignment="1" applyProtection="1">
      <alignment horizontal="center" vertical="center"/>
      <protection locked="0"/>
    </xf>
    <xf numFmtId="0" fontId="87" fillId="0" borderId="21" xfId="163" applyFill="1" applyBorder="1" applyAlignment="1">
      <alignment horizontal="center" vertical="center"/>
    </xf>
    <xf numFmtId="10" fontId="32" fillId="0" borderId="21" xfId="163" applyNumberFormat="1" applyFont="1" applyFill="1" applyBorder="1" applyAlignment="1">
      <alignment horizontal="center" vertical="center"/>
    </xf>
    <xf numFmtId="168" fontId="87" fillId="0" borderId="21" xfId="2" applyNumberFormat="1" applyBorder="1" applyAlignment="1">
      <alignment vertical="center"/>
    </xf>
    <xf numFmtId="10" fontId="32" fillId="46" borderId="13" xfId="165" applyNumberFormat="1" applyFont="1" applyFill="1" applyBorder="1" applyAlignment="1">
      <alignment horizontal="center" vertical="center"/>
    </xf>
    <xf numFmtId="0" fontId="32" fillId="0" borderId="58" xfId="163" applyFont="1" applyFill="1" applyBorder="1" applyAlignment="1">
      <alignment vertical="center"/>
    </xf>
    <xf numFmtId="0" fontId="27" fillId="0" borderId="38" xfId="165" applyFill="1" applyBorder="1" applyAlignment="1">
      <alignment vertical="center"/>
    </xf>
    <xf numFmtId="168" fontId="27" fillId="0" borderId="33" xfId="165" applyNumberFormat="1" applyFill="1" applyBorder="1" applyAlignment="1">
      <alignment vertical="center"/>
    </xf>
    <xf numFmtId="168" fontId="87" fillId="0" borderId="59" xfId="164" applyNumberFormat="1" applyFill="1" applyBorder="1" applyAlignment="1">
      <alignment horizontal="right" vertical="center"/>
    </xf>
    <xf numFmtId="168" fontId="87" fillId="32" borderId="16" xfId="164" applyNumberFormat="1" applyFill="1" applyBorder="1" applyAlignment="1" applyProtection="1">
      <alignment horizontal="center" vertical="center"/>
      <protection locked="0"/>
    </xf>
    <xf numFmtId="10" fontId="87" fillId="0" borderId="42" xfId="163" applyNumberFormat="1" applyFill="1" applyBorder="1" applyAlignment="1">
      <alignment horizontal="right" vertical="center"/>
    </xf>
    <xf numFmtId="0" fontId="87" fillId="32" borderId="16" xfId="163" applyFill="1" applyBorder="1" applyAlignment="1" applyProtection="1">
      <alignment horizontal="center" vertical="center"/>
      <protection locked="0"/>
    </xf>
    <xf numFmtId="10" fontId="87" fillId="0" borderId="42" xfId="164" applyNumberFormat="1" applyFill="1" applyBorder="1" applyAlignment="1">
      <alignment horizontal="right" vertical="center"/>
    </xf>
    <xf numFmtId="0" fontId="87" fillId="32" borderId="16" xfId="164" applyFill="1" applyBorder="1" applyAlignment="1" applyProtection="1">
      <alignment horizontal="center" vertical="center"/>
      <protection locked="0"/>
    </xf>
    <xf numFmtId="168" fontId="87" fillId="0" borderId="16" xfId="164" applyNumberFormat="1" applyFill="1" applyBorder="1" applyAlignment="1" applyProtection="1">
      <alignment horizontal="center" vertical="center"/>
      <protection locked="0"/>
    </xf>
    <xf numFmtId="9" fontId="87" fillId="0" borderId="16" xfId="163" applyNumberFormat="1" applyFill="1" applyBorder="1" applyAlignment="1">
      <alignment horizontal="center" vertical="center"/>
    </xf>
    <xf numFmtId="0" fontId="49" fillId="0" borderId="29" xfId="163" applyFont="1" applyFill="1" applyBorder="1" applyAlignment="1">
      <alignment horizontal="left" vertical="center" indent="2"/>
    </xf>
    <xf numFmtId="10" fontId="87" fillId="0" borderId="38" xfId="163" applyNumberFormat="1" applyFill="1" applyBorder="1" applyAlignment="1">
      <alignment horizontal="right" vertical="center"/>
    </xf>
    <xf numFmtId="168" fontId="87" fillId="46" borderId="16" xfId="163" applyNumberFormat="1" applyFill="1" applyBorder="1" applyAlignment="1">
      <alignment horizontal="center" vertical="center"/>
    </xf>
    <xf numFmtId="0" fontId="35" fillId="0" borderId="53" xfId="0" applyFont="1" applyBorder="1" applyAlignment="1">
      <alignment horizontal="left" vertical="center" wrapText="1"/>
    </xf>
    <xf numFmtId="168" fontId="32" fillId="0" borderId="44" xfId="163" applyNumberFormat="1" applyFont="1" applyFill="1" applyBorder="1" applyAlignment="1">
      <alignment horizontal="center" vertical="center"/>
    </xf>
    <xf numFmtId="0" fontId="32" fillId="0" borderId="55" xfId="164" applyFont="1" applyFill="1" applyBorder="1" applyAlignment="1">
      <alignment vertical="center"/>
    </xf>
    <xf numFmtId="168" fontId="32" fillId="0" borderId="60" xfId="163" applyNumberFormat="1" applyFont="1" applyFill="1" applyBorder="1" applyAlignment="1">
      <alignment horizontal="center" vertical="center"/>
    </xf>
    <xf numFmtId="0" fontId="49" fillId="0" borderId="56" xfId="164" applyFont="1" applyFill="1" applyBorder="1" applyAlignment="1">
      <alignment horizontal="left" vertical="center" indent="2"/>
    </xf>
    <xf numFmtId="0" fontId="49" fillId="0" borderId="41" xfId="164" applyFont="1" applyFill="1" applyBorder="1" applyAlignment="1">
      <alignment horizontal="left" vertical="center" indent="2"/>
    </xf>
    <xf numFmtId="9" fontId="87" fillId="0" borderId="16" xfId="164" applyNumberFormat="1" applyFill="1" applyBorder="1" applyAlignment="1" applyProtection="1">
      <alignment horizontal="center" vertical="center"/>
      <protection locked="0"/>
    </xf>
    <xf numFmtId="0" fontId="49" fillId="0" borderId="29" xfId="164" applyFont="1" applyFill="1" applyBorder="1" applyAlignment="1">
      <alignment horizontal="left" vertical="center" indent="2"/>
    </xf>
    <xf numFmtId="10" fontId="87" fillId="0" borderId="38" xfId="164" applyNumberFormat="1" applyFill="1" applyBorder="1" applyAlignment="1">
      <alignment horizontal="right" vertical="center"/>
    </xf>
    <xf numFmtId="0" fontId="48" fillId="0" borderId="53" xfId="0" applyFont="1" applyBorder="1" applyAlignment="1">
      <alignment vertical="center" wrapText="1"/>
    </xf>
    <xf numFmtId="168" fontId="87" fillId="0" borderId="16" xfId="164" applyNumberFormat="1" applyFill="1" applyBorder="1" applyAlignment="1">
      <alignment horizontal="center" vertical="center"/>
    </xf>
    <xf numFmtId="0" fontId="32" fillId="0" borderId="40" xfId="163" applyFont="1" applyFill="1" applyBorder="1" applyAlignment="1">
      <alignment vertical="center"/>
    </xf>
    <xf numFmtId="10" fontId="32" fillId="0" borderId="32" xfId="3" applyNumberFormat="1" applyFont="1" applyBorder="1" applyAlignment="1">
      <alignment horizontal="center" vertical="center"/>
    </xf>
    <xf numFmtId="0" fontId="49" fillId="0" borderId="61" xfId="163" applyFont="1" applyFill="1" applyBorder="1" applyAlignment="1">
      <alignment horizontal="left" vertical="center" indent="2"/>
    </xf>
    <xf numFmtId="10" fontId="87" fillId="0" borderId="59" xfId="164" applyNumberFormat="1" applyFill="1" applyBorder="1" applyAlignment="1">
      <alignment horizontal="right" vertical="center"/>
    </xf>
    <xf numFmtId="168" fontId="87" fillId="32" borderId="16" xfId="2" applyNumberFormat="1" applyFill="1" applyBorder="1" applyAlignment="1" applyProtection="1">
      <alignment horizontal="center" vertical="center"/>
      <protection locked="0"/>
    </xf>
    <xf numFmtId="0" fontId="49" fillId="0" borderId="49" xfId="163" applyFont="1" applyFill="1" applyBorder="1" applyAlignment="1">
      <alignment horizontal="left" vertical="center" indent="2"/>
    </xf>
    <xf numFmtId="168" fontId="32" fillId="0" borderId="50" xfId="163" applyNumberFormat="1" applyFont="1" applyFill="1" applyBorder="1" applyAlignment="1">
      <alignment horizontal="center" vertical="center"/>
    </xf>
    <xf numFmtId="168" fontId="87" fillId="0" borderId="16" xfId="164" applyNumberFormat="1" applyFill="1" applyBorder="1" applyAlignment="1">
      <alignment horizontal="right" vertical="center"/>
    </xf>
    <xf numFmtId="0" fontId="32" fillId="0" borderId="26" xfId="171" applyFont="1" applyFill="1" applyBorder="1" applyAlignment="1">
      <alignment horizontal="center" vertical="center"/>
    </xf>
    <xf numFmtId="168" fontId="87" fillId="32" borderId="16" xfId="164" applyNumberFormat="1" applyFill="1" applyBorder="1" applyAlignment="1">
      <alignment horizontal="right" vertical="center"/>
    </xf>
    <xf numFmtId="0" fontId="32" fillId="0" borderId="62" xfId="171" applyFont="1" applyFill="1" applyBorder="1" applyAlignment="1">
      <alignment horizontal="center" vertical="center"/>
    </xf>
    <xf numFmtId="10" fontId="0" fillId="32" borderId="16" xfId="0" applyNumberFormat="1" applyFill="1" applyBorder="1" applyAlignment="1">
      <alignment horizontal="center" vertical="center"/>
    </xf>
    <xf numFmtId="168" fontId="87" fillId="32" borderId="13" xfId="163" applyNumberFormat="1" applyFill="1" applyBorder="1" applyAlignment="1" applyProtection="1">
      <alignment horizontal="center" vertical="center"/>
      <protection locked="0"/>
    </xf>
    <xf numFmtId="168" fontId="87" fillId="32" borderId="16" xfId="163" applyNumberFormat="1" applyFill="1" applyBorder="1" applyAlignment="1" applyProtection="1">
      <alignment horizontal="center" vertical="center"/>
      <protection locked="0"/>
    </xf>
    <xf numFmtId="0" fontId="32" fillId="46" borderId="44" xfId="165" applyFont="1" applyFill="1" applyBorder="1" applyAlignment="1">
      <alignment vertical="center"/>
    </xf>
    <xf numFmtId="168" fontId="32" fillId="46" borderId="21" xfId="165" applyNumberFormat="1" applyFont="1" applyFill="1" applyBorder="1" applyAlignment="1">
      <alignment vertical="center"/>
    </xf>
    <xf numFmtId="168" fontId="32" fillId="46" borderId="13" xfId="161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168" fontId="28" fillId="0" borderId="0" xfId="162" applyNumberFormat="1" applyFont="1" applyFill="1" applyAlignment="1">
      <alignment horizontal="center" vertical="center"/>
    </xf>
    <xf numFmtId="0" fontId="32" fillId="38" borderId="16" xfId="0" applyFont="1" applyFill="1" applyBorder="1" applyAlignment="1">
      <alignment horizontal="center" vertical="center"/>
    </xf>
    <xf numFmtId="0" fontId="32" fillId="38" borderId="20" xfId="0" applyFont="1" applyFill="1" applyBorder="1" applyAlignment="1">
      <alignment horizontal="center" vertical="center"/>
    </xf>
    <xf numFmtId="168" fontId="0" fillId="38" borderId="16" xfId="162" applyNumberFormat="1" applyFont="1" applyFill="1" applyBorder="1" applyAlignment="1">
      <alignment horizontal="center" vertical="center"/>
    </xf>
    <xf numFmtId="168" fontId="0" fillId="38" borderId="31" xfId="162" applyNumberFormat="1" applyFont="1" applyFill="1" applyBorder="1" applyAlignment="1">
      <alignment horizontal="center" vertical="center"/>
    </xf>
    <xf numFmtId="168" fontId="0" fillId="38" borderId="20" xfId="162" applyNumberFormat="1" applyFont="1" applyFill="1" applyBorder="1" applyAlignment="1">
      <alignment horizontal="center" vertical="center"/>
    </xf>
    <xf numFmtId="168" fontId="0" fillId="38" borderId="12" xfId="162" applyNumberFormat="1" applyFont="1" applyFill="1" applyBorder="1" applyAlignment="1">
      <alignment horizontal="center" vertical="center"/>
    </xf>
    <xf numFmtId="0" fontId="32" fillId="0" borderId="63" xfId="0" applyFont="1" applyBorder="1" applyAlignment="1">
      <alignment vertical="center"/>
    </xf>
    <xf numFmtId="0" fontId="32" fillId="0" borderId="27" xfId="0" applyFont="1" applyBorder="1" applyAlignment="1">
      <alignment vertical="center"/>
    </xf>
    <xf numFmtId="0" fontId="28" fillId="0" borderId="28" xfId="172" applyFont="1" applyFill="1" applyBorder="1" applyAlignment="1">
      <alignment vertical="center"/>
    </xf>
    <xf numFmtId="0" fontId="32" fillId="0" borderId="53" xfId="163" applyFont="1" applyFill="1" applyBorder="1" applyAlignment="1">
      <alignment horizontal="left" vertical="center" wrapText="1"/>
    </xf>
    <xf numFmtId="10" fontId="32" fillId="32" borderId="44" xfId="3" applyNumberFormat="1" applyFont="1" applyFill="1" applyBorder="1" applyAlignment="1" applyProtection="1">
      <alignment horizontal="center" vertical="center"/>
      <protection locked="0"/>
    </xf>
    <xf numFmtId="168" fontId="0" fillId="0" borderId="14" xfId="0" applyNumberFormat="1" applyBorder="1" applyAlignment="1">
      <alignment vertical="center"/>
    </xf>
    <xf numFmtId="0" fontId="0" fillId="0" borderId="15" xfId="0" applyBorder="1" applyAlignment="1">
      <alignment vertical="center"/>
    </xf>
    <xf numFmtId="10" fontId="32" fillId="0" borderId="13" xfId="3" applyNumberFormat="1" applyFont="1" applyBorder="1" applyAlignment="1">
      <alignment horizontal="center" vertical="center"/>
    </xf>
    <xf numFmtId="10" fontId="32" fillId="32" borderId="13" xfId="3" applyNumberFormat="1" applyFont="1" applyFill="1" applyBorder="1" applyAlignment="1" applyProtection="1">
      <alignment horizontal="center" vertical="center"/>
      <protection locked="0"/>
    </xf>
    <xf numFmtId="0" fontId="32" fillId="0" borderId="53" xfId="163" applyFont="1" applyFill="1" applyBorder="1" applyAlignment="1">
      <alignment vertical="center" wrapText="1"/>
    </xf>
    <xf numFmtId="10" fontId="32" fillId="22" borderId="13" xfId="3" applyNumberFormat="1" applyFont="1" applyFill="1" applyBorder="1" applyAlignment="1" applyProtection="1">
      <alignment horizontal="center" vertical="center"/>
      <protection locked="0"/>
    </xf>
    <xf numFmtId="10" fontId="32" fillId="46" borderId="13" xfId="161" applyNumberFormat="1" applyFont="1" applyFill="1" applyBorder="1" applyAlignment="1">
      <alignment horizontal="center" vertical="center"/>
    </xf>
    <xf numFmtId="168" fontId="32" fillId="0" borderId="0" xfId="0" applyNumberFormat="1" applyFont="1" applyAlignment="1">
      <alignment vertical="center"/>
    </xf>
    <xf numFmtId="0" fontId="28" fillId="38" borderId="0" xfId="161" applyFont="1" applyFill="1" applyAlignment="1">
      <alignment horizontal="left" vertical="center"/>
    </xf>
    <xf numFmtId="0" fontId="28" fillId="38" borderId="0" xfId="161" applyFont="1" applyFill="1" applyAlignment="1">
      <alignment vertical="center"/>
    </xf>
    <xf numFmtId="168" fontId="28" fillId="38" borderId="0" xfId="161" applyNumberFormat="1" applyFont="1" applyFill="1" applyAlignment="1">
      <alignment horizontal="center" vertical="center"/>
    </xf>
    <xf numFmtId="0" fontId="32" fillId="38" borderId="0" xfId="0" applyFont="1" applyFill="1" applyAlignment="1">
      <alignment vertical="center"/>
    </xf>
    <xf numFmtId="168" fontId="0" fillId="38" borderId="13" xfId="162" applyNumberFormat="1" applyFont="1" applyFill="1" applyBorder="1" applyAlignment="1">
      <alignment horizontal="center" vertical="center"/>
    </xf>
    <xf numFmtId="168" fontId="32" fillId="38" borderId="16" xfId="162" applyNumberFormat="1" applyFont="1" applyFill="1" applyBorder="1" applyAlignment="1">
      <alignment horizontal="center" vertical="center"/>
    </xf>
    <xf numFmtId="168" fontId="32" fillId="38" borderId="12" xfId="162" applyNumberFormat="1" applyFont="1" applyFill="1" applyBorder="1" applyAlignment="1">
      <alignment horizontal="center" vertical="center"/>
    </xf>
    <xf numFmtId="0" fontId="32" fillId="46" borderId="12" xfId="165" applyFont="1" applyFill="1" applyBorder="1" applyAlignment="1">
      <alignment horizontal="left" vertical="center" wrapText="1"/>
    </xf>
    <xf numFmtId="0" fontId="28" fillId="0" borderId="25" xfId="172" applyFont="1" applyFill="1" applyBorder="1" applyAlignment="1">
      <alignment vertical="center"/>
    </xf>
    <xf numFmtId="10" fontId="32" fillId="22" borderId="44" xfId="3" applyNumberFormat="1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vertical="center"/>
    </xf>
    <xf numFmtId="168" fontId="0" fillId="0" borderId="15" xfId="0" applyNumberFormat="1" applyBorder="1" applyAlignment="1">
      <alignment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10" fontId="29" fillId="0" borderId="0" xfId="0" applyNumberFormat="1" applyFont="1" applyAlignment="1">
      <alignment horizontal="right" vertical="center"/>
    </xf>
    <xf numFmtId="0" fontId="28" fillId="0" borderId="0" xfId="172" applyFont="1" applyFill="1" applyAlignment="1">
      <alignment vertical="center"/>
    </xf>
    <xf numFmtId="0" fontId="47" fillId="46" borderId="12" xfId="165" applyFont="1" applyFill="1" applyBorder="1" applyAlignment="1">
      <alignment horizontal="left" vertical="center"/>
    </xf>
    <xf numFmtId="0" fontId="47" fillId="46" borderId="13" xfId="165" applyFont="1" applyFill="1" applyBorder="1" applyAlignment="1">
      <alignment vertical="center"/>
    </xf>
    <xf numFmtId="168" fontId="28" fillId="46" borderId="12" xfId="165" applyNumberFormat="1" applyFont="1" applyFill="1" applyBorder="1" applyAlignment="1">
      <alignment vertical="center"/>
    </xf>
    <xf numFmtId="168" fontId="28" fillId="46" borderId="13" xfId="165" applyNumberFormat="1" applyFont="1" applyFill="1" applyBorder="1" applyAlignment="1">
      <alignment vertical="center"/>
    </xf>
    <xf numFmtId="0" fontId="29" fillId="38" borderId="26" xfId="165" applyFont="1" applyFill="1" applyBorder="1" applyAlignment="1">
      <alignment horizontal="center" vertical="center"/>
    </xf>
    <xf numFmtId="0" fontId="29" fillId="38" borderId="24" xfId="165" applyFont="1" applyFill="1" applyBorder="1" applyAlignment="1">
      <alignment horizontal="left" vertical="center"/>
    </xf>
    <xf numFmtId="0" fontId="29" fillId="38" borderId="24" xfId="165" applyFont="1" applyFill="1" applyBorder="1" applyAlignment="1">
      <alignment vertical="center"/>
    </xf>
    <xf numFmtId="168" fontId="29" fillId="38" borderId="21" xfId="165" applyNumberFormat="1" applyFont="1" applyFill="1" applyBorder="1" applyAlignment="1">
      <alignment vertical="center"/>
    </xf>
    <xf numFmtId="168" fontId="32" fillId="0" borderId="0" xfId="0" applyNumberFormat="1" applyFont="1" applyAlignment="1">
      <alignment horizontal="center" vertical="center"/>
    </xf>
    <xf numFmtId="10" fontId="32" fillId="0" borderId="12" xfId="3" applyNumberFormat="1" applyFont="1" applyBorder="1" applyAlignment="1">
      <alignment horizontal="center" vertical="center"/>
    </xf>
    <xf numFmtId="10" fontId="32" fillId="0" borderId="31" xfId="3" applyNumberFormat="1" applyFont="1" applyBorder="1" applyAlignment="1">
      <alignment horizontal="center" vertical="center"/>
    </xf>
    <xf numFmtId="0" fontId="49" fillId="0" borderId="61" xfId="164" applyFont="1" applyFill="1" applyBorder="1" applyAlignment="1">
      <alignment horizontal="left" vertical="center" indent="2"/>
    </xf>
    <xf numFmtId="10" fontId="87" fillId="0" borderId="36" xfId="164" applyNumberFormat="1" applyFill="1" applyBorder="1" applyAlignment="1">
      <alignment horizontal="center" vertical="center"/>
    </xf>
    <xf numFmtId="10" fontId="49" fillId="0" borderId="37" xfId="3" applyNumberFormat="1" applyFont="1" applyBorder="1" applyAlignment="1">
      <alignment horizontal="center" vertical="center"/>
    </xf>
    <xf numFmtId="0" fontId="51" fillId="0" borderId="53" xfId="163" applyFont="1" applyFill="1" applyBorder="1" applyAlignment="1">
      <alignment horizontal="left" vertical="center" wrapText="1"/>
    </xf>
    <xf numFmtId="10" fontId="32" fillId="32" borderId="12" xfId="3" applyNumberFormat="1" applyFont="1" applyFill="1" applyBorder="1" applyAlignment="1" applyProtection="1">
      <alignment horizontal="center" vertical="center"/>
      <protection locked="0"/>
    </xf>
    <xf numFmtId="10" fontId="32" fillId="46" borderId="12" xfId="0" applyNumberFormat="1" applyFont="1" applyFill="1" applyBorder="1" applyAlignment="1">
      <alignment horizontal="center" vertical="center"/>
    </xf>
    <xf numFmtId="168" fontId="32" fillId="46" borderId="12" xfId="161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181" fontId="0" fillId="0" borderId="0" xfId="0" applyNumberFormat="1" applyAlignment="1">
      <alignment vertical="center"/>
    </xf>
    <xf numFmtId="0" fontId="32" fillId="0" borderId="11" xfId="165" applyFont="1" applyFill="1" applyBorder="1" applyAlignment="1">
      <alignment horizontal="center" vertical="center"/>
    </xf>
    <xf numFmtId="0" fontId="32" fillId="0" borderId="12" xfId="165" applyFont="1" applyFill="1" applyBorder="1" applyAlignment="1">
      <alignment horizontal="left" vertical="center"/>
    </xf>
    <xf numFmtId="0" fontId="32" fillId="46" borderId="16" xfId="165" applyFont="1" applyFill="1" applyBorder="1" applyAlignment="1">
      <alignment horizontal="center" vertical="center"/>
    </xf>
    <xf numFmtId="0" fontId="32" fillId="0" borderId="13" xfId="165" applyFont="1" applyFill="1" applyBorder="1" applyAlignment="1">
      <alignment vertical="center"/>
    </xf>
    <xf numFmtId="168" fontId="32" fillId="0" borderId="21" xfId="165" applyNumberFormat="1" applyFont="1" applyFill="1" applyBorder="1" applyAlignment="1">
      <alignment vertical="center"/>
    </xf>
    <xf numFmtId="0" fontId="28" fillId="48" borderId="11" xfId="161" applyFont="1" applyFill="1" applyBorder="1" applyAlignment="1">
      <alignment horizontal="center" vertical="center"/>
    </xf>
    <xf numFmtId="0" fontId="28" fillId="48" borderId="12" xfId="161" applyFont="1" applyFill="1" applyBorder="1" applyAlignment="1">
      <alignment horizontal="left" vertical="center"/>
    </xf>
    <xf numFmtId="0" fontId="28" fillId="48" borderId="13" xfId="161" applyFont="1" applyFill="1" applyBorder="1" applyAlignment="1">
      <alignment vertical="center"/>
    </xf>
    <xf numFmtId="168" fontId="28" fillId="48" borderId="13" xfId="161" applyNumberFormat="1" applyFont="1" applyFill="1" applyBorder="1" applyAlignment="1">
      <alignment vertical="center"/>
    </xf>
    <xf numFmtId="168" fontId="28" fillId="0" borderId="0" xfId="161" applyNumberFormat="1" applyFont="1" applyFill="1" applyAlignment="1">
      <alignment vertical="center"/>
    </xf>
    <xf numFmtId="168" fontId="26" fillId="0" borderId="0" xfId="0" applyNumberFormat="1" applyFont="1" applyAlignment="1">
      <alignment horizontal="right" vertical="center"/>
    </xf>
    <xf numFmtId="0" fontId="9" fillId="0" borderId="0" xfId="62"/>
    <xf numFmtId="0" fontId="52" fillId="0" borderId="0" xfId="62" applyFont="1" applyAlignment="1">
      <alignment horizontal="center" vertical="center"/>
    </xf>
    <xf numFmtId="0" fontId="53" fillId="49" borderId="16" xfId="62" applyFont="1" applyFill="1" applyBorder="1" applyAlignment="1">
      <alignment horizontal="center" vertical="center" wrapText="1"/>
    </xf>
    <xf numFmtId="0" fontId="53" fillId="49" borderId="11" xfId="62" applyFont="1" applyFill="1" applyBorder="1" applyAlignment="1">
      <alignment horizontal="center" vertical="center" wrapText="1"/>
    </xf>
    <xf numFmtId="0" fontId="54" fillId="38" borderId="62" xfId="62" applyFont="1" applyFill="1" applyBorder="1" applyAlignment="1">
      <alignment vertical="center" wrapText="1"/>
    </xf>
    <xf numFmtId="0" fontId="54" fillId="38" borderId="0" xfId="62" applyFont="1" applyFill="1" applyAlignment="1">
      <alignment vertical="center" wrapText="1"/>
    </xf>
    <xf numFmtId="0" fontId="55" fillId="49" borderId="16" xfId="62" applyFont="1" applyFill="1" applyBorder="1" applyAlignment="1">
      <alignment horizontal="center" vertical="center" wrapText="1"/>
    </xf>
    <xf numFmtId="0" fontId="56" fillId="49" borderId="16" xfId="62" applyFont="1" applyFill="1" applyBorder="1" applyAlignment="1">
      <alignment horizontal="center" vertical="center" wrapText="1"/>
    </xf>
    <xf numFmtId="182" fontId="56" fillId="38" borderId="16" xfId="62" applyNumberFormat="1" applyFont="1" applyFill="1" applyBorder="1" applyAlignment="1">
      <alignment horizontal="center" vertical="center"/>
    </xf>
    <xf numFmtId="182" fontId="56" fillId="0" borderId="21" xfId="62" applyNumberFormat="1" applyFont="1" applyBorder="1" applyAlignment="1">
      <alignment horizontal="center" vertical="center"/>
    </xf>
    <xf numFmtId="0" fontId="53" fillId="38" borderId="21" xfId="62" applyFont="1" applyFill="1" applyBorder="1" applyAlignment="1">
      <alignment horizontal="center" vertical="center"/>
    </xf>
    <xf numFmtId="182" fontId="53" fillId="0" borderId="21" xfId="62" applyNumberFormat="1" applyFont="1" applyBorder="1" applyAlignment="1">
      <alignment horizontal="center" vertical="center"/>
    </xf>
    <xf numFmtId="182" fontId="53" fillId="0" borderId="0" xfId="62" applyNumberFormat="1" applyFont="1" applyAlignment="1">
      <alignment horizontal="center" vertical="center"/>
    </xf>
    <xf numFmtId="182" fontId="9" fillId="0" borderId="0" xfId="62" applyNumberFormat="1"/>
    <xf numFmtId="183" fontId="9" fillId="0" borderId="0" xfId="62" applyNumberFormat="1"/>
    <xf numFmtId="184" fontId="9" fillId="0" borderId="0" xfId="62" applyNumberFormat="1"/>
    <xf numFmtId="0" fontId="53" fillId="49" borderId="21" xfId="62" applyFont="1" applyFill="1" applyBorder="1" applyAlignment="1">
      <alignment horizontal="center" vertical="center" wrapText="1"/>
    </xf>
    <xf numFmtId="0" fontId="57" fillId="49" borderId="21" xfId="62" applyFont="1" applyFill="1" applyBorder="1" applyAlignment="1">
      <alignment horizontal="center" vertical="center" wrapText="1"/>
    </xf>
    <xf numFmtId="0" fontId="9" fillId="38" borderId="0" xfId="62" applyFill="1"/>
    <xf numFmtId="0" fontId="58" fillId="38" borderId="0" xfId="62" applyFont="1" applyFill="1" applyAlignment="1">
      <alignment horizontal="left" vertical="top" wrapText="1"/>
    </xf>
    <xf numFmtId="0" fontId="56" fillId="49" borderId="16" xfId="62" applyFont="1" applyFill="1" applyBorder="1" applyAlignment="1">
      <alignment horizontal="left" vertical="center" wrapText="1"/>
    </xf>
    <xf numFmtId="182" fontId="56" fillId="0" borderId="16" xfId="62" applyNumberFormat="1" applyFont="1" applyBorder="1" applyAlignment="1">
      <alignment horizontal="center" vertical="center"/>
    </xf>
    <xf numFmtId="1" fontId="56" fillId="0" borderId="16" xfId="62" applyNumberFormat="1" applyFont="1" applyBorder="1" applyAlignment="1">
      <alignment horizontal="center" vertical="center"/>
    </xf>
    <xf numFmtId="2" fontId="56" fillId="0" borderId="16" xfId="62" applyNumberFormat="1" applyFont="1" applyBorder="1" applyAlignment="1">
      <alignment horizontal="center" vertical="center"/>
    </xf>
    <xf numFmtId="0" fontId="56" fillId="0" borderId="16" xfId="62" applyFont="1" applyBorder="1" applyAlignment="1">
      <alignment horizontal="center" vertical="center"/>
    </xf>
    <xf numFmtId="0" fontId="57" fillId="0" borderId="0" xfId="62" applyFont="1"/>
    <xf numFmtId="0" fontId="57" fillId="34" borderId="0" xfId="62" applyFont="1" applyFill="1"/>
    <xf numFmtId="0" fontId="9" fillId="34" borderId="0" xfId="62" applyFill="1"/>
    <xf numFmtId="0" fontId="53" fillId="49" borderId="20" xfId="62" applyFont="1" applyFill="1" applyBorder="1" applyAlignment="1">
      <alignment horizontal="center" vertical="center" wrapText="1"/>
    </xf>
    <xf numFmtId="0" fontId="53" fillId="38" borderId="16" xfId="62" applyFont="1" applyFill="1" applyBorder="1" applyAlignment="1">
      <alignment horizontal="center" vertical="center" wrapText="1"/>
    </xf>
    <xf numFmtId="182" fontId="9" fillId="38" borderId="16" xfId="62" applyNumberFormat="1" applyFill="1" applyBorder="1" applyAlignment="1">
      <alignment horizontal="left" vertical="center"/>
    </xf>
    <xf numFmtId="0" fontId="9" fillId="0" borderId="16" xfId="62" applyBorder="1" applyAlignment="1">
      <alignment horizontal="center"/>
    </xf>
    <xf numFmtId="0" fontId="9" fillId="0" borderId="16" xfId="62" applyBorder="1"/>
    <xf numFmtId="182" fontId="9" fillId="38" borderId="16" xfId="62" applyNumberFormat="1" applyFill="1" applyBorder="1" applyAlignment="1">
      <alignment horizontal="center" vertical="center"/>
    </xf>
    <xf numFmtId="182" fontId="9" fillId="38" borderId="13" xfId="62" applyNumberFormat="1" applyFill="1" applyBorder="1" applyAlignment="1">
      <alignment horizontal="center" vertical="center"/>
    </xf>
    <xf numFmtId="182" fontId="9" fillId="38" borderId="0" xfId="62" applyNumberFormat="1" applyFill="1"/>
    <xf numFmtId="184" fontId="9" fillId="38" borderId="0" xfId="62" applyNumberFormat="1" applyFill="1"/>
    <xf numFmtId="0" fontId="9" fillId="0" borderId="11" xfId="62" applyBorder="1" applyAlignment="1">
      <alignment horizontal="center"/>
    </xf>
    <xf numFmtId="2" fontId="9" fillId="38" borderId="0" xfId="62" applyNumberFormat="1" applyFill="1"/>
    <xf numFmtId="184" fontId="9" fillId="38" borderId="16" xfId="62" applyNumberFormat="1" applyFill="1" applyBorder="1" applyAlignment="1">
      <alignment horizontal="center" vertical="center"/>
    </xf>
    <xf numFmtId="184" fontId="9" fillId="0" borderId="13" xfId="62" applyNumberFormat="1" applyBorder="1" applyAlignment="1">
      <alignment horizontal="center"/>
    </xf>
    <xf numFmtId="182" fontId="9" fillId="38" borderId="16" xfId="62" applyNumberFormat="1" applyFill="1" applyBorder="1" applyAlignment="1">
      <alignment horizontal="center"/>
    </xf>
    <xf numFmtId="182" fontId="9" fillId="38" borderId="0" xfId="62" applyNumberFormat="1" applyFill="1" applyAlignment="1">
      <alignment horizontal="center" vertical="center"/>
    </xf>
    <xf numFmtId="0" fontId="9" fillId="0" borderId="16" xfId="62" applyBorder="1" applyAlignment="1">
      <alignment horizontal="left" vertical="center"/>
    </xf>
    <xf numFmtId="185" fontId="9" fillId="0" borderId="0" xfId="62" applyNumberFormat="1"/>
    <xf numFmtId="2" fontId="9" fillId="0" borderId="0" xfId="62" applyNumberFormat="1"/>
    <xf numFmtId="0" fontId="9" fillId="0" borderId="0" xfId="62" applyAlignment="1">
      <alignment horizontal="center"/>
    </xf>
    <xf numFmtId="184" fontId="9" fillId="0" borderId="16" xfId="62" applyNumberFormat="1" applyBorder="1" applyAlignment="1">
      <alignment horizontal="center"/>
    </xf>
    <xf numFmtId="0" fontId="57" fillId="50" borderId="0" xfId="62" applyFont="1" applyFill="1"/>
    <xf numFmtId="0" fontId="9" fillId="50" borderId="0" xfId="62" applyFill="1"/>
    <xf numFmtId="0" fontId="57" fillId="50" borderId="0" xfId="62" applyFont="1" applyFill="1" applyAlignment="1">
      <alignment horizontal="center"/>
    </xf>
    <xf numFmtId="186" fontId="9" fillId="0" borderId="0" xfId="62" applyNumberFormat="1"/>
    <xf numFmtId="0" fontId="9" fillId="0" borderId="21" xfId="62" applyBorder="1"/>
    <xf numFmtId="0" fontId="59" fillId="0" borderId="0" xfId="63" applyFont="1"/>
    <xf numFmtId="0" fontId="60" fillId="0" borderId="0" xfId="63" applyFont="1" applyAlignment="1">
      <alignment vertical="top"/>
    </xf>
    <xf numFmtId="0" fontId="54" fillId="0" borderId="0" xfId="63" applyFont="1" applyAlignment="1">
      <alignment horizontal="center"/>
    </xf>
    <xf numFmtId="0" fontId="54" fillId="0" borderId="0" xfId="63" applyFont="1" applyAlignment="1">
      <alignment horizontal="left" indent="2"/>
    </xf>
    <xf numFmtId="0" fontId="54" fillId="0" borderId="0" xfId="63" applyFont="1"/>
    <xf numFmtId="2" fontId="54" fillId="0" borderId="11" xfId="63" applyNumberFormat="1" applyFont="1" applyBorder="1"/>
    <xf numFmtId="0" fontId="54" fillId="0" borderId="13" xfId="63" applyFont="1" applyBorder="1"/>
    <xf numFmtId="0" fontId="53" fillId="0" borderId="0" xfId="63" applyFont="1" applyAlignment="1">
      <alignment vertical="center"/>
    </xf>
    <xf numFmtId="0" fontId="53" fillId="46" borderId="16" xfId="63" applyFont="1" applyFill="1" applyBorder="1" applyAlignment="1">
      <alignment horizontal="center" vertical="center" wrapText="1"/>
    </xf>
    <xf numFmtId="49" fontId="53" fillId="46" borderId="16" xfId="63" applyNumberFormat="1" applyFont="1" applyFill="1" applyBorder="1" applyAlignment="1">
      <alignment horizontal="center" vertical="center" wrapText="1"/>
    </xf>
    <xf numFmtId="0" fontId="53" fillId="46" borderId="21" xfId="63" applyFont="1" applyFill="1" applyBorder="1" applyAlignment="1">
      <alignment horizontal="center" vertical="center" wrapText="1"/>
    </xf>
    <xf numFmtId="0" fontId="61" fillId="0" borderId="16" xfId="63" applyFont="1" applyBorder="1" applyAlignment="1">
      <alignment horizontal="center" vertical="center" wrapText="1"/>
    </xf>
    <xf numFmtId="0" fontId="61" fillId="0" borderId="21" xfId="63" applyFont="1" applyBorder="1" applyAlignment="1">
      <alignment horizontal="left" vertical="center" wrapText="1"/>
    </xf>
    <xf numFmtId="0" fontId="53" fillId="0" borderId="16" xfId="63" applyFont="1" applyBorder="1" applyAlignment="1">
      <alignment horizontal="center" wrapText="1"/>
    </xf>
    <xf numFmtId="0" fontId="62" fillId="0" borderId="16" xfId="63" applyFont="1" applyBorder="1" applyAlignment="1">
      <alignment horizontal="center"/>
    </xf>
    <xf numFmtId="168" fontId="9" fillId="0" borderId="16" xfId="36" applyBorder="1" applyAlignment="1">
      <alignment horizontal="center"/>
    </xf>
    <xf numFmtId="168" fontId="9" fillId="51" borderId="16" xfId="36" applyFill="1" applyBorder="1" applyAlignment="1">
      <alignment horizontal="center"/>
    </xf>
    <xf numFmtId="168" fontId="57" fillId="51" borderId="16" xfId="36" applyFont="1" applyFill="1" applyBorder="1" applyAlignment="1">
      <alignment horizontal="center"/>
    </xf>
    <xf numFmtId="0" fontId="62" fillId="38" borderId="16" xfId="63" applyFont="1" applyFill="1" applyBorder="1" applyAlignment="1">
      <alignment horizontal="center"/>
    </xf>
    <xf numFmtId="0" fontId="61" fillId="0" borderId="21" xfId="86" applyFont="1" applyBorder="1" applyAlignment="1">
      <alignment horizontal="left" vertical="center"/>
    </xf>
    <xf numFmtId="168" fontId="62" fillId="0" borderId="16" xfId="63" applyNumberFormat="1" applyFont="1" applyBorder="1" applyAlignment="1">
      <alignment horizontal="center"/>
    </xf>
    <xf numFmtId="168" fontId="9" fillId="0" borderId="20" xfId="36" applyBorder="1" applyAlignment="1">
      <alignment horizontal="center"/>
    </xf>
    <xf numFmtId="0" fontId="62" fillId="0" borderId="0" xfId="63" applyFont="1"/>
    <xf numFmtId="0" fontId="61" fillId="0" borderId="0" xfId="63" applyFont="1"/>
    <xf numFmtId="0" fontId="61" fillId="27" borderId="64" xfId="63" applyFont="1" applyFill="1" applyBorder="1"/>
    <xf numFmtId="0" fontId="54" fillId="27" borderId="65" xfId="63" applyFont="1" applyFill="1" applyBorder="1" applyAlignment="1">
      <alignment horizontal="center"/>
    </xf>
    <xf numFmtId="168" fontId="57" fillId="27" borderId="65" xfId="63" applyNumberFormat="1" applyFont="1" applyFill="1" applyBorder="1"/>
    <xf numFmtId="178" fontId="62" fillId="0" borderId="0" xfId="1" applyNumberFormat="1" applyFont="1"/>
    <xf numFmtId="168" fontId="57" fillId="39" borderId="65" xfId="63" applyNumberFormat="1" applyFont="1" applyFill="1" applyBorder="1"/>
    <xf numFmtId="178" fontId="59" fillId="0" borderId="0" xfId="63" applyNumberFormat="1" applyFont="1"/>
    <xf numFmtId="168" fontId="57" fillId="27" borderId="66" xfId="63" applyNumberFormat="1" applyFont="1" applyFill="1" applyBorder="1"/>
    <xf numFmtId="0" fontId="54" fillId="45" borderId="16" xfId="0" applyFont="1" applyFill="1" applyBorder="1" applyAlignment="1">
      <alignment horizontal="center" vertical="center" readingOrder="1"/>
    </xf>
    <xf numFmtId="0" fontId="63" fillId="45" borderId="16" xfId="0" applyFont="1" applyFill="1" applyBorder="1" applyAlignment="1">
      <alignment horizontal="center" vertical="center"/>
    </xf>
    <xf numFmtId="0" fontId="54" fillId="0" borderId="16" xfId="0" applyFont="1" applyBorder="1" applyAlignment="1">
      <alignment horizontal="center" vertical="center" readingOrder="1"/>
    </xf>
    <xf numFmtId="0" fontId="59" fillId="0" borderId="16" xfId="0" applyFont="1" applyBorder="1" applyAlignment="1">
      <alignment horizontal="center" vertical="center" wrapText="1" readingOrder="1"/>
    </xf>
    <xf numFmtId="0" fontId="59" fillId="0" borderId="16" xfId="0" applyFont="1" applyBorder="1" applyAlignment="1">
      <alignment vertical="center" wrapText="1" readingOrder="1"/>
    </xf>
    <xf numFmtId="0" fontId="59" fillId="0" borderId="16" xfId="0" applyFont="1" applyBorder="1" applyAlignment="1">
      <alignment horizontal="center" vertical="center" readingOrder="1"/>
    </xf>
    <xf numFmtId="181" fontId="64" fillId="0" borderId="16" xfId="0" applyNumberFormat="1" applyFont="1" applyBorder="1" applyAlignment="1">
      <alignment vertical="center"/>
    </xf>
    <xf numFmtId="0" fontId="59" fillId="0" borderId="16" xfId="0" applyFont="1" applyBorder="1" applyAlignment="1">
      <alignment vertical="center" readingOrder="1"/>
    </xf>
    <xf numFmtId="187" fontId="64" fillId="0" borderId="16" xfId="0" applyNumberFormat="1" applyFont="1" applyBorder="1" applyAlignment="1">
      <alignment vertical="center"/>
    </xf>
    <xf numFmtId="0" fontId="64" fillId="0" borderId="0" xfId="0" applyFont="1" applyAlignment="1">
      <alignment horizontal="center" vertical="center"/>
    </xf>
    <xf numFmtId="0" fontId="66" fillId="46" borderId="16" xfId="0" applyFont="1" applyFill="1" applyBorder="1" applyAlignment="1">
      <alignment horizontal="center" vertical="center"/>
    </xf>
    <xf numFmtId="0" fontId="66" fillId="46" borderId="20" xfId="0" applyFont="1" applyFill="1" applyBorder="1" applyAlignment="1">
      <alignment horizontal="center" vertical="center"/>
    </xf>
    <xf numFmtId="0" fontId="67" fillId="46" borderId="0" xfId="0" applyFont="1" applyFill="1" applyAlignment="1">
      <alignment horizontal="center" vertical="center" wrapText="1"/>
    </xf>
    <xf numFmtId="0" fontId="66" fillId="46" borderId="34" xfId="0" applyFont="1" applyFill="1" applyBorder="1" applyAlignment="1">
      <alignment horizontal="center" vertical="center"/>
    </xf>
    <xf numFmtId="0" fontId="67" fillId="46" borderId="16" xfId="0" applyFont="1" applyFill="1" applyBorder="1" applyAlignment="1">
      <alignment horizontal="center" vertical="center" wrapText="1"/>
    </xf>
    <xf numFmtId="0" fontId="68" fillId="46" borderId="34" xfId="0" applyFont="1" applyFill="1" applyBorder="1" applyAlignment="1">
      <alignment horizontal="center" vertical="center"/>
    </xf>
    <xf numFmtId="0" fontId="65" fillId="46" borderId="21" xfId="0" applyFont="1" applyFill="1" applyBorder="1" applyAlignment="1">
      <alignment horizontal="center" vertical="center"/>
    </xf>
    <xf numFmtId="181" fontId="69" fillId="51" borderId="16" xfId="0" applyNumberFormat="1" applyFont="1" applyFill="1" applyBorder="1" applyAlignment="1">
      <alignment horizontal="center" vertical="center"/>
    </xf>
    <xf numFmtId="181" fontId="67" fillId="51" borderId="16" xfId="0" applyNumberFormat="1" applyFont="1" applyFill="1" applyBorder="1" applyAlignment="1">
      <alignment horizontal="center" vertical="center"/>
    </xf>
    <xf numFmtId="0" fontId="67" fillId="51" borderId="16" xfId="0" applyFont="1" applyFill="1" applyBorder="1" applyAlignment="1">
      <alignment horizontal="center" vertical="center"/>
    </xf>
    <xf numFmtId="188" fontId="67" fillId="51" borderId="16" xfId="0" applyNumberFormat="1" applyFont="1" applyFill="1" applyBorder="1" applyAlignment="1">
      <alignment horizontal="center" vertical="center"/>
    </xf>
    <xf numFmtId="188" fontId="69" fillId="51" borderId="16" xfId="0" applyNumberFormat="1" applyFont="1" applyFill="1" applyBorder="1" applyAlignment="1">
      <alignment horizontal="center" vertical="center"/>
    </xf>
    <xf numFmtId="188" fontId="65" fillId="31" borderId="16" xfId="0" applyNumberFormat="1" applyFont="1" applyFill="1" applyBorder="1" applyAlignment="1">
      <alignment horizontal="center" vertical="center"/>
    </xf>
    <xf numFmtId="0" fontId="68" fillId="51" borderId="16" xfId="0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38" borderId="0" xfId="0" applyFont="1" applyFill="1" applyAlignment="1">
      <alignment horizontal="center" vertical="center"/>
    </xf>
    <xf numFmtId="188" fontId="64" fillId="0" borderId="0" xfId="0" applyNumberFormat="1" applyFont="1" applyAlignment="1">
      <alignment horizontal="center" vertical="center"/>
    </xf>
    <xf numFmtId="181" fontId="64" fillId="0" borderId="0" xfId="0" applyNumberFormat="1" applyFont="1" applyAlignment="1">
      <alignment horizontal="center" vertical="center"/>
    </xf>
    <xf numFmtId="0" fontId="64" fillId="0" borderId="0" xfId="0" applyFont="1" applyAlignment="1">
      <alignment horizontal="center" vertical="center" wrapText="1"/>
    </xf>
    <xf numFmtId="0" fontId="32" fillId="46" borderId="16" xfId="0" applyFont="1" applyFill="1" applyBorder="1" applyAlignment="1">
      <alignment horizontal="center" vertical="center"/>
    </xf>
    <xf numFmtId="0" fontId="32" fillId="46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188" fontId="0" fillId="0" borderId="16" xfId="0" applyNumberFormat="1" applyBorder="1" applyAlignment="1">
      <alignment horizontal="center" vertical="center"/>
    </xf>
    <xf numFmtId="10" fontId="0" fillId="0" borderId="16" xfId="0" applyNumberFormat="1" applyBorder="1" applyAlignment="1">
      <alignment horizontal="center" vertical="center"/>
    </xf>
    <xf numFmtId="168" fontId="87" fillId="0" borderId="16" xfId="2" applyNumberFormat="1" applyBorder="1" applyAlignment="1">
      <alignment horizontal="center" vertical="center"/>
    </xf>
    <xf numFmtId="168" fontId="87" fillId="0" borderId="16" xfId="2" applyNumberFormat="1" applyBorder="1" applyAlignment="1">
      <alignment vertical="center"/>
    </xf>
    <xf numFmtId="0" fontId="43" fillId="46" borderId="16" xfId="0" applyFont="1" applyFill="1" applyBorder="1" applyAlignment="1">
      <alignment horizontal="center" vertical="center" wrapText="1"/>
    </xf>
    <xf numFmtId="0" fontId="72" fillId="46" borderId="16" xfId="0" applyFont="1" applyFill="1" applyBorder="1" applyAlignment="1">
      <alignment horizontal="center" vertical="center"/>
    </xf>
    <xf numFmtId="188" fontId="43" fillId="46" borderId="16" xfId="0" applyNumberFormat="1" applyFont="1" applyFill="1" applyBorder="1" applyAlignment="1">
      <alignment horizontal="center" vertical="center"/>
    </xf>
    <xf numFmtId="168" fontId="43" fillId="46" borderId="16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2" fillId="53" borderId="16" xfId="0" applyFont="1" applyFill="1" applyBorder="1" applyAlignment="1">
      <alignment horizontal="center" vertical="center" wrapText="1"/>
    </xf>
    <xf numFmtId="0" fontId="32" fillId="53" borderId="16" xfId="0" applyFont="1" applyFill="1" applyBorder="1" applyAlignment="1">
      <alignment horizontal="center" vertical="center"/>
    </xf>
    <xf numFmtId="168" fontId="32" fillId="53" borderId="16" xfId="2" applyNumberFormat="1" applyFont="1" applyFill="1" applyBorder="1" applyAlignment="1">
      <alignment horizontal="center" vertical="center" wrapText="1"/>
    </xf>
    <xf numFmtId="0" fontId="0" fillId="51" borderId="13" xfId="0" applyFill="1" applyBorder="1" applyAlignment="1">
      <alignment vertical="center"/>
    </xf>
    <xf numFmtId="189" fontId="32" fillId="51" borderId="16" xfId="0" applyNumberFormat="1" applyFont="1" applyFill="1" applyBorder="1" applyAlignment="1">
      <alignment horizontal="center" vertical="center"/>
    </xf>
    <xf numFmtId="189" fontId="32" fillId="51" borderId="20" xfId="0" applyNumberFormat="1" applyFont="1" applyFill="1" applyBorder="1" applyAlignment="1">
      <alignment horizontal="center" vertical="center"/>
    </xf>
    <xf numFmtId="0" fontId="0" fillId="0" borderId="31" xfId="0" applyBorder="1" applyAlignment="1">
      <alignment horizontal="left" vertical="center" wrapText="1"/>
    </xf>
    <xf numFmtId="189" fontId="0" fillId="0" borderId="21" xfId="0" applyNumberFormat="1" applyBorder="1" applyAlignment="1">
      <alignment horizontal="center" vertical="center"/>
    </xf>
    <xf numFmtId="179" fontId="87" fillId="0" borderId="0" xfId="1" applyNumberFormat="1" applyAlignment="1">
      <alignment horizontal="center" vertical="center"/>
    </xf>
    <xf numFmtId="10" fontId="19" fillId="0" borderId="16" xfId="0" applyNumberFormat="1" applyFont="1" applyBorder="1" applyAlignment="1">
      <alignment horizontal="center" vertical="center"/>
    </xf>
    <xf numFmtId="189" fontId="0" fillId="0" borderId="16" xfId="0" applyNumberFormat="1" applyBorder="1" applyAlignment="1">
      <alignment horizontal="center" vertical="center"/>
    </xf>
    <xf numFmtId="179" fontId="87" fillId="0" borderId="16" xfId="1" applyNumberFormat="1" applyBorder="1" applyAlignment="1">
      <alignment horizontal="center" vertical="center"/>
    </xf>
    <xf numFmtId="179" fontId="87" fillId="0" borderId="31" xfId="1" applyNumberFormat="1" applyBorder="1" applyAlignment="1">
      <alignment horizontal="center" vertical="center"/>
    </xf>
    <xf numFmtId="0" fontId="0" fillId="0" borderId="31" xfId="0" applyBorder="1" applyAlignment="1">
      <alignment horizontal="left" vertical="center"/>
    </xf>
    <xf numFmtId="10" fontId="19" fillId="0" borderId="31" xfId="0" applyNumberFormat="1" applyFont="1" applyBorder="1" applyAlignment="1">
      <alignment horizontal="center" vertical="center"/>
    </xf>
    <xf numFmtId="10" fontId="19" fillId="0" borderId="11" xfId="0" applyNumberFormat="1" applyFont="1" applyBorder="1" applyAlignment="1">
      <alignment horizontal="center" vertical="center"/>
    </xf>
    <xf numFmtId="10" fontId="87" fillId="32" borderId="16" xfId="3" applyNumberFormat="1" applyFill="1" applyBorder="1" applyAlignment="1">
      <alignment horizontal="center" vertical="center"/>
    </xf>
    <xf numFmtId="10" fontId="0" fillId="0" borderId="0" xfId="0" applyNumberFormat="1"/>
    <xf numFmtId="10" fontId="32" fillId="39" borderId="0" xfId="0" applyNumberFormat="1" applyFont="1" applyFill="1" applyAlignment="1">
      <alignment horizontal="center"/>
    </xf>
    <xf numFmtId="0" fontId="0" fillId="0" borderId="34" xfId="0" applyBorder="1" applyAlignment="1">
      <alignment horizontal="center" vertical="center"/>
    </xf>
    <xf numFmtId="10" fontId="0" fillId="0" borderId="31" xfId="0" applyNumberForma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16" xfId="0" applyBorder="1" applyAlignment="1">
      <alignment vertical="center"/>
    </xf>
    <xf numFmtId="189" fontId="32" fillId="0" borderId="16" xfId="0" applyNumberFormat="1" applyFont="1" applyBorder="1" applyAlignment="1">
      <alignment horizontal="center" vertical="center"/>
    </xf>
    <xf numFmtId="179" fontId="87" fillId="0" borderId="16" xfId="2" applyNumberFormat="1" applyBorder="1" applyAlignment="1">
      <alignment horizontal="center" vertical="center"/>
    </xf>
    <xf numFmtId="9" fontId="87" fillId="0" borderId="16" xfId="3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6" xfId="0" applyBorder="1"/>
    <xf numFmtId="0" fontId="0" fillId="0" borderId="20" xfId="0" applyBorder="1"/>
    <xf numFmtId="189" fontId="0" fillId="0" borderId="20" xfId="0" applyNumberFormat="1" applyBorder="1" applyAlignment="1">
      <alignment horizontal="center"/>
    </xf>
    <xf numFmtId="10" fontId="87" fillId="0" borderId="0" xfId="3" applyNumberFormat="1"/>
    <xf numFmtId="10" fontId="32" fillId="0" borderId="0" xfId="0" applyNumberFormat="1" applyFont="1" applyAlignment="1">
      <alignment horizontal="center"/>
    </xf>
    <xf numFmtId="10" fontId="87" fillId="32" borderId="16" xfId="3" applyNumberFormat="1" applyFill="1" applyBorder="1" applyAlignment="1">
      <alignment horizontal="center"/>
    </xf>
    <xf numFmtId="189" fontId="0" fillId="0" borderId="20" xfId="0" applyNumberFormat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31" xfId="0" applyBorder="1"/>
    <xf numFmtId="189" fontId="0" fillId="0" borderId="0" xfId="0" applyNumberFormat="1"/>
    <xf numFmtId="0" fontId="76" fillId="42" borderId="0" xfId="0" applyFont="1" applyFill="1" applyAlignment="1">
      <alignment horizontal="center" vertical="center" wrapText="1"/>
    </xf>
    <xf numFmtId="0" fontId="77" fillId="28" borderId="1" xfId="0" applyFont="1" applyFill="1" applyBorder="1" applyAlignment="1">
      <alignment horizontal="center" vertical="center" wrapText="1"/>
    </xf>
    <xf numFmtId="0" fontId="78" fillId="0" borderId="1" xfId="0" applyFont="1" applyBorder="1" applyAlignment="1">
      <alignment horizontal="center" vertical="center" wrapText="1"/>
    </xf>
    <xf numFmtId="0" fontId="79" fillId="0" borderId="1" xfId="0" applyFont="1" applyBorder="1"/>
    <xf numFmtId="0" fontId="79" fillId="47" borderId="1" xfId="0" applyFont="1" applyFill="1" applyBorder="1" applyAlignment="1">
      <alignment horizontal="center" vertical="center" wrapText="1"/>
    </xf>
    <xf numFmtId="179" fontId="79" fillId="47" borderId="1" xfId="0" applyNumberFormat="1" applyFont="1" applyFill="1" applyBorder="1"/>
    <xf numFmtId="10" fontId="79" fillId="47" borderId="1" xfId="0" applyNumberFormat="1" applyFont="1" applyFill="1" applyBorder="1" applyAlignment="1">
      <alignment horizontal="center" vertical="center" wrapText="1"/>
    </xf>
    <xf numFmtId="0" fontId="78" fillId="55" borderId="1" xfId="0" applyFont="1" applyFill="1" applyBorder="1" applyAlignment="1">
      <alignment horizontal="center" vertical="center" wrapText="1"/>
    </xf>
    <xf numFmtId="0" fontId="0" fillId="55" borderId="1" xfId="0" applyFill="1" applyBorder="1"/>
    <xf numFmtId="0" fontId="77" fillId="55" borderId="1" xfId="0" applyFont="1" applyFill="1" applyBorder="1" applyAlignment="1">
      <alignment horizontal="right" vertical="center"/>
    </xf>
    <xf numFmtId="0" fontId="77" fillId="55" borderId="1" xfId="0" applyFont="1" applyFill="1" applyBorder="1" applyAlignment="1">
      <alignment horizontal="center" vertical="center" wrapText="1"/>
    </xf>
    <xf numFmtId="0" fontId="80" fillId="56" borderId="1" xfId="0" applyFont="1" applyFill="1" applyBorder="1" applyAlignment="1">
      <alignment horizontal="center" vertical="center" wrapText="1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center" vertical="center" wrapText="1"/>
    </xf>
    <xf numFmtId="0" fontId="81" fillId="0" borderId="0" xfId="0" applyFont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84" fillId="0" borderId="1" xfId="0" applyFont="1" applyBorder="1" applyAlignment="1">
      <alignment horizontal="center" vertical="center" wrapText="1"/>
    </xf>
    <xf numFmtId="0" fontId="84" fillId="0" borderId="1" xfId="0" applyFont="1" applyBorder="1" applyAlignment="1">
      <alignment horizontal="left" vertical="center" wrapText="1"/>
    </xf>
    <xf numFmtId="179" fontId="78" fillId="0" borderId="1" xfId="0" applyNumberFormat="1" applyFont="1" applyBorder="1" applyAlignment="1">
      <alignment horizontal="center" vertical="center" wrapText="1"/>
    </xf>
    <xf numFmtId="10" fontId="84" fillId="0" borderId="1" xfId="0" applyNumberFormat="1" applyFont="1" applyBorder="1" applyAlignment="1">
      <alignment horizontal="center" vertical="center" wrapText="1"/>
    </xf>
    <xf numFmtId="190" fontId="78" fillId="0" borderId="1" xfId="0" applyNumberFormat="1" applyFont="1" applyBorder="1" applyAlignment="1">
      <alignment horizontal="right" vertical="center"/>
    </xf>
    <xf numFmtId="0" fontId="0" fillId="56" borderId="1" xfId="0" applyFill="1" applyBorder="1"/>
    <xf numFmtId="0" fontId="80" fillId="56" borderId="1" xfId="0" applyFont="1" applyFill="1" applyBorder="1" applyAlignment="1">
      <alignment horizontal="right" vertical="center"/>
    </xf>
    <xf numFmtId="190" fontId="80" fillId="56" borderId="1" xfId="0" applyNumberFormat="1" applyFont="1" applyFill="1" applyBorder="1" applyAlignment="1">
      <alignment horizontal="right" vertical="center"/>
    </xf>
    <xf numFmtId="0" fontId="76" fillId="42" borderId="1" xfId="0" applyFont="1" applyFill="1" applyBorder="1" applyAlignment="1">
      <alignment horizontal="center" vertical="center" wrapText="1"/>
    </xf>
    <xf numFmtId="190" fontId="84" fillId="0" borderId="1" xfId="0" applyNumberFormat="1" applyFont="1" applyBorder="1" applyAlignment="1">
      <alignment horizontal="right" vertical="center"/>
    </xf>
    <xf numFmtId="190" fontId="86" fillId="0" borderId="1" xfId="0" applyNumberFormat="1" applyFont="1" applyBorder="1" applyAlignment="1">
      <alignment horizontal="right" vertical="center"/>
    </xf>
    <xf numFmtId="3" fontId="86" fillId="0" borderId="1" xfId="0" applyNumberFormat="1" applyFont="1" applyBorder="1" applyAlignment="1">
      <alignment horizontal="right" vertical="center"/>
    </xf>
    <xf numFmtId="0" fontId="88" fillId="38" borderId="16" xfId="164" applyFont="1" applyFill="1" applyBorder="1" applyAlignment="1">
      <alignment vertical="center" wrapText="1"/>
    </xf>
    <xf numFmtId="0" fontId="89" fillId="0" borderId="16" xfId="64" applyFont="1" applyBorder="1" applyAlignment="1">
      <alignment vertical="center"/>
    </xf>
    <xf numFmtId="0" fontId="90" fillId="0" borderId="24" xfId="163" applyFont="1" applyFill="1" applyBorder="1" applyAlignment="1">
      <alignment vertical="center"/>
    </xf>
    <xf numFmtId="0" fontId="0" fillId="0" borderId="0" xfId="0" applyAlignment="1">
      <alignment horizontal="left"/>
    </xf>
    <xf numFmtId="0" fontId="81" fillId="0" borderId="0" xfId="0" applyFont="1" applyAlignment="1">
      <alignment horizontal="left" vertical="center"/>
    </xf>
    <xf numFmtId="190" fontId="78" fillId="0" borderId="1" xfId="0" applyNumberFormat="1" applyFont="1" applyBorder="1" applyAlignment="1">
      <alignment horizontal="center" vertical="center"/>
    </xf>
    <xf numFmtId="0" fontId="33" fillId="57" borderId="16" xfId="163" applyFont="1" applyFill="1" applyBorder="1" applyAlignment="1">
      <alignment vertical="center" wrapText="1"/>
    </xf>
    <xf numFmtId="0" fontId="93" fillId="0" borderId="31" xfId="164" applyFont="1" applyFill="1" applyBorder="1" applyAlignment="1">
      <alignment vertical="center"/>
    </xf>
    <xf numFmtId="0" fontId="93" fillId="0" borderId="54" xfId="163" applyFont="1" applyFill="1" applyBorder="1" applyAlignment="1">
      <alignment horizontal="left" vertical="center" wrapText="1"/>
    </xf>
    <xf numFmtId="0" fontId="93" fillId="0" borderId="0" xfId="163" applyFont="1" applyFill="1" applyAlignment="1">
      <alignment horizontal="left" vertical="center" wrapText="1"/>
    </xf>
    <xf numFmtId="0" fontId="32" fillId="58" borderId="11" xfId="165" applyFont="1" applyFill="1" applyBorder="1" applyAlignment="1">
      <alignment horizontal="center" vertical="center"/>
    </xf>
    <xf numFmtId="0" fontId="32" fillId="58" borderId="12" xfId="165" applyFont="1" applyFill="1" applyBorder="1" applyAlignment="1">
      <alignment horizontal="left" vertical="center"/>
    </xf>
    <xf numFmtId="0" fontId="32" fillId="58" borderId="12" xfId="165" applyFont="1" applyFill="1" applyBorder="1" applyAlignment="1">
      <alignment vertical="center"/>
    </xf>
    <xf numFmtId="168" fontId="32" fillId="58" borderId="12" xfId="165" applyNumberFormat="1" applyFont="1" applyFill="1" applyBorder="1" applyAlignment="1">
      <alignment vertical="center"/>
    </xf>
    <xf numFmtId="168" fontId="32" fillId="58" borderId="13" xfId="165" applyNumberFormat="1" applyFont="1" applyFill="1" applyBorder="1" applyAlignment="1">
      <alignment vertical="center"/>
    </xf>
    <xf numFmtId="0" fontId="32" fillId="58" borderId="26" xfId="163" applyFont="1" applyFill="1" applyBorder="1" applyAlignment="1">
      <alignment horizontal="center" vertical="center"/>
    </xf>
    <xf numFmtId="0" fontId="29" fillId="58" borderId="24" xfId="4" applyFont="1" applyFill="1" applyBorder="1" applyAlignment="1">
      <alignment vertical="center"/>
    </xf>
    <xf numFmtId="0" fontId="0" fillId="58" borderId="44" xfId="0" applyFill="1" applyBorder="1"/>
    <xf numFmtId="168" fontId="87" fillId="58" borderId="21" xfId="163" applyNumberFormat="1" applyFill="1" applyBorder="1" applyAlignment="1">
      <alignment horizontal="center" vertical="center"/>
    </xf>
    <xf numFmtId="0" fontId="32" fillId="58" borderId="13" xfId="165" applyFont="1" applyFill="1" applyBorder="1" applyAlignment="1">
      <alignment vertical="center"/>
    </xf>
    <xf numFmtId="168" fontId="32" fillId="58" borderId="16" xfId="165" applyNumberFormat="1" applyFont="1" applyFill="1" applyBorder="1" applyAlignment="1">
      <alignment vertical="center"/>
    </xf>
    <xf numFmtId="0" fontId="0" fillId="58" borderId="0" xfId="0" applyFill="1"/>
    <xf numFmtId="0" fontId="28" fillId="58" borderId="11" xfId="165" applyFont="1" applyFill="1" applyBorder="1" applyAlignment="1">
      <alignment horizontal="center" vertical="center"/>
    </xf>
    <xf numFmtId="0" fontId="28" fillId="58" borderId="12" xfId="165" applyFont="1" applyFill="1" applyBorder="1" applyAlignment="1">
      <alignment horizontal="left" vertical="center"/>
    </xf>
    <xf numFmtId="0" fontId="28" fillId="58" borderId="12" xfId="165" applyFont="1" applyFill="1" applyBorder="1" applyAlignment="1">
      <alignment vertical="center"/>
    </xf>
    <xf numFmtId="168" fontId="28" fillId="58" borderId="16" xfId="165" applyNumberFormat="1" applyFont="1" applyFill="1" applyBorder="1" applyAlignment="1">
      <alignment vertical="center"/>
    </xf>
    <xf numFmtId="10" fontId="32" fillId="58" borderId="13" xfId="3" applyNumberFormat="1" applyFont="1" applyFill="1" applyBorder="1" applyAlignment="1">
      <alignment horizontal="center" vertical="center"/>
    </xf>
    <xf numFmtId="168" fontId="87" fillId="58" borderId="16" xfId="163" applyNumberFormat="1" applyFill="1" applyBorder="1" applyAlignment="1">
      <alignment horizontal="center" vertical="center"/>
    </xf>
    <xf numFmtId="0" fontId="28" fillId="58" borderId="13" xfId="165" applyFont="1" applyFill="1" applyBorder="1" applyAlignment="1">
      <alignment vertical="center"/>
    </xf>
    <xf numFmtId="0" fontId="32" fillId="58" borderId="11" xfId="161" applyFont="1" applyFill="1" applyBorder="1" applyAlignment="1">
      <alignment horizontal="left" vertical="center"/>
    </xf>
    <xf numFmtId="0" fontId="32" fillId="58" borderId="12" xfId="161" applyFont="1" applyFill="1" applyBorder="1" applyAlignment="1">
      <alignment horizontal="left" vertical="center"/>
    </xf>
    <xf numFmtId="0" fontId="32" fillId="58" borderId="13" xfId="161" applyFont="1" applyFill="1" applyBorder="1" applyAlignment="1">
      <alignment vertical="center"/>
    </xf>
    <xf numFmtId="168" fontId="32" fillId="58" borderId="16" xfId="161" applyNumberFormat="1" applyFont="1" applyFill="1" applyBorder="1" applyAlignment="1">
      <alignment horizontal="center" vertical="center"/>
    </xf>
    <xf numFmtId="0" fontId="74" fillId="54" borderId="0" xfId="0" applyFont="1" applyFill="1" applyAlignment="1">
      <alignment horizontal="center" vertical="center" wrapText="1"/>
    </xf>
    <xf numFmtId="0" fontId="75" fillId="0" borderId="0" xfId="0" applyFont="1" applyAlignment="1">
      <alignment horizontal="left" vertical="top" wrapText="1"/>
    </xf>
    <xf numFmtId="0" fontId="85" fillId="0" borderId="1" xfId="0" applyFont="1" applyBorder="1" applyAlignment="1">
      <alignment horizontal="right" vertical="center"/>
    </xf>
    <xf numFmtId="0" fontId="60" fillId="0" borderId="0" xfId="63" applyFont="1" applyAlignment="1">
      <alignment horizontal="center" vertical="top"/>
    </xf>
    <xf numFmtId="0" fontId="53" fillId="27" borderId="64" xfId="63" applyFont="1" applyFill="1" applyBorder="1" applyAlignment="1">
      <alignment horizontal="center"/>
    </xf>
    <xf numFmtId="0" fontId="53" fillId="39" borderId="64" xfId="63" applyFont="1" applyFill="1" applyBorder="1" applyAlignment="1">
      <alignment horizontal="center"/>
    </xf>
    <xf numFmtId="2" fontId="31" fillId="0" borderId="17" xfId="163" applyNumberFormat="1" applyFont="1" applyFill="1" applyBorder="1" applyAlignment="1">
      <alignment horizontal="center" vertical="center"/>
    </xf>
    <xf numFmtId="0" fontId="28" fillId="40" borderId="12" xfId="165" applyFont="1" applyFill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34" fillId="38" borderId="16" xfId="163" applyFont="1" applyFill="1" applyBorder="1" applyAlignment="1">
      <alignment horizontal="left" vertical="center" wrapText="1"/>
    </xf>
    <xf numFmtId="0" fontId="28" fillId="40" borderId="13" xfId="165" applyFont="1" applyFill="1" applyBorder="1" applyAlignment="1">
      <alignment horizontal="left" vertical="center" wrapText="1"/>
    </xf>
    <xf numFmtId="0" fontId="29" fillId="0" borderId="13" xfId="165" applyFont="1" applyFill="1" applyBorder="1" applyAlignment="1">
      <alignment horizontal="center" vertical="center"/>
    </xf>
    <xf numFmtId="0" fontId="33" fillId="0" borderId="16" xfId="163" applyFont="1" applyFill="1" applyBorder="1" applyAlignment="1">
      <alignment horizontal="left" vertical="center" wrapText="1"/>
    </xf>
    <xf numFmtId="0" fontId="28" fillId="37" borderId="16" xfId="161" applyFont="1" applyFill="1" applyBorder="1" applyAlignment="1">
      <alignment horizontal="center" vertical="center"/>
    </xf>
    <xf numFmtId="0" fontId="27" fillId="37" borderId="16" xfId="161" applyFill="1" applyBorder="1" applyAlignment="1">
      <alignment horizontal="center" vertical="center"/>
    </xf>
    <xf numFmtId="0" fontId="28" fillId="37" borderId="16" xfId="161" applyFont="1" applyFill="1" applyBorder="1" applyAlignment="1">
      <alignment horizontal="center" vertical="center" wrapText="1"/>
    </xf>
    <xf numFmtId="0" fontId="30" fillId="37" borderId="16" xfId="161" applyFont="1" applyFill="1" applyBorder="1" applyAlignment="1">
      <alignment horizontal="center" vertical="center" wrapText="1"/>
    </xf>
    <xf numFmtId="0" fontId="42" fillId="43" borderId="23" xfId="161" applyFont="1" applyFill="1" applyBorder="1" applyAlignment="1">
      <alignment horizontal="center" vertical="center" wrapText="1"/>
    </xf>
    <xf numFmtId="0" fontId="43" fillId="43" borderId="11" xfId="161" applyFont="1" applyFill="1" applyBorder="1" applyAlignment="1">
      <alignment horizontal="center" vertical="center"/>
    </xf>
    <xf numFmtId="49" fontId="26" fillId="0" borderId="21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49" fontId="45" fillId="0" borderId="16" xfId="0" applyNumberFormat="1" applyFont="1" applyBorder="1" applyAlignment="1">
      <alignment horizontal="justify" vertical="center" wrapText="1"/>
    </xf>
    <xf numFmtId="49" fontId="26" fillId="32" borderId="16" xfId="0" applyNumberFormat="1" applyFont="1" applyFill="1" applyBorder="1" applyAlignment="1" applyProtection="1">
      <alignment horizontal="center" vertical="top"/>
      <protection locked="0"/>
    </xf>
    <xf numFmtId="177" fontId="26" fillId="39" borderId="16" xfId="0" applyNumberFormat="1" applyFont="1" applyFill="1" applyBorder="1" applyAlignment="1">
      <alignment horizontal="center"/>
    </xf>
    <xf numFmtId="49" fontId="26" fillId="0" borderId="16" xfId="0" applyNumberFormat="1" applyFont="1" applyBorder="1" applyAlignment="1">
      <alignment horizontal="center" vertical="center"/>
    </xf>
    <xf numFmtId="49" fontId="26" fillId="32" borderId="16" xfId="0" applyNumberFormat="1" applyFont="1" applyFill="1" applyBorder="1" applyAlignment="1" applyProtection="1">
      <alignment horizontal="center" vertical="center"/>
      <protection locked="0"/>
    </xf>
    <xf numFmtId="179" fontId="26" fillId="0" borderId="16" xfId="0" applyNumberFormat="1" applyFont="1" applyBorder="1" applyAlignment="1" applyProtection="1">
      <alignment horizontal="center" vertical="center"/>
      <protection locked="0"/>
    </xf>
    <xf numFmtId="179" fontId="26" fillId="0" borderId="16" xfId="2" applyNumberFormat="1" applyFont="1" applyBorder="1" applyAlignment="1">
      <alignment horizontal="center" vertical="center"/>
    </xf>
    <xf numFmtId="179" fontId="26" fillId="32" borderId="16" xfId="2" applyNumberFormat="1" applyFont="1" applyFill="1" applyBorder="1" applyAlignment="1">
      <alignment horizontal="center" vertical="center" wrapText="1"/>
    </xf>
    <xf numFmtId="179" fontId="46" fillId="0" borderId="21" xfId="2" applyNumberFormat="1" applyFont="1" applyBorder="1" applyAlignment="1">
      <alignment horizontal="center" vertical="center"/>
    </xf>
    <xf numFmtId="0" fontId="28" fillId="44" borderId="13" xfId="161" applyFont="1" applyFill="1" applyBorder="1" applyAlignment="1">
      <alignment horizontal="center" vertical="center"/>
    </xf>
    <xf numFmtId="0" fontId="28" fillId="44" borderId="11" xfId="161" applyFont="1" applyFill="1" applyBorder="1" applyAlignment="1">
      <alignment horizontal="center" vertical="center"/>
    </xf>
    <xf numFmtId="0" fontId="32" fillId="0" borderId="11" xfId="163" applyFont="1" applyFill="1" applyBorder="1" applyAlignment="1">
      <alignment horizontal="center" vertical="center"/>
    </xf>
    <xf numFmtId="0" fontId="32" fillId="0" borderId="34" xfId="164" applyFont="1" applyFill="1" applyBorder="1" applyAlignment="1">
      <alignment horizontal="center" vertical="center"/>
    </xf>
    <xf numFmtId="0" fontId="32" fillId="0" borderId="39" xfId="163" applyFont="1" applyFill="1" applyBorder="1" applyAlignment="1">
      <alignment horizontal="center" vertical="center"/>
    </xf>
    <xf numFmtId="0" fontId="32" fillId="0" borderId="45" xfId="163" applyFont="1" applyFill="1" applyBorder="1" applyAlignment="1">
      <alignment horizontal="center" vertical="center"/>
    </xf>
    <xf numFmtId="0" fontId="93" fillId="0" borderId="46" xfId="164" applyFont="1" applyFill="1" applyBorder="1" applyAlignment="1">
      <alignment horizontal="left" vertical="center"/>
    </xf>
    <xf numFmtId="0" fontId="32" fillId="0" borderId="46" xfId="164" applyFont="1" applyFill="1" applyBorder="1" applyAlignment="1">
      <alignment horizontal="left" vertical="center"/>
    </xf>
    <xf numFmtId="0" fontId="32" fillId="38" borderId="16" xfId="0" applyFont="1" applyFill="1" applyBorder="1" applyAlignment="1">
      <alignment horizontal="center" vertical="center"/>
    </xf>
    <xf numFmtId="0" fontId="32" fillId="0" borderId="12" xfId="165" applyFont="1" applyFill="1" applyBorder="1" applyAlignment="1">
      <alignment horizontal="left" vertical="center"/>
    </xf>
    <xf numFmtId="0" fontId="32" fillId="0" borderId="39" xfId="171" applyFont="1" applyFill="1" applyBorder="1" applyAlignment="1">
      <alignment horizontal="center" vertical="center"/>
    </xf>
    <xf numFmtId="0" fontId="32" fillId="0" borderId="45" xfId="171" applyFont="1" applyFill="1" applyBorder="1" applyAlignment="1">
      <alignment horizontal="center" vertical="center"/>
    </xf>
    <xf numFmtId="0" fontId="52" fillId="0" borderId="0" xfId="62" applyFont="1" applyAlignment="1">
      <alignment horizontal="center" vertical="center"/>
    </xf>
    <xf numFmtId="0" fontId="54" fillId="49" borderId="16" xfId="62" applyFont="1" applyFill="1" applyBorder="1" applyAlignment="1">
      <alignment horizontal="center" vertical="center" wrapText="1"/>
    </xf>
    <xf numFmtId="0" fontId="58" fillId="46" borderId="0" xfId="62" applyFont="1" applyFill="1" applyAlignment="1">
      <alignment horizontal="left" vertical="top" wrapText="1"/>
    </xf>
    <xf numFmtId="0" fontId="53" fillId="49" borderId="16" xfId="62" applyFont="1" applyFill="1" applyBorder="1" applyAlignment="1">
      <alignment horizontal="left" vertical="center" wrapText="1"/>
    </xf>
    <xf numFmtId="182" fontId="53" fillId="49" borderId="21" xfId="62" applyNumberFormat="1" applyFont="1" applyFill="1" applyBorder="1" applyAlignment="1">
      <alignment horizontal="center" vertical="center" wrapText="1"/>
    </xf>
    <xf numFmtId="184" fontId="53" fillId="49" borderId="16" xfId="62" applyNumberFormat="1" applyFont="1" applyFill="1" applyBorder="1" applyAlignment="1">
      <alignment horizontal="center" vertical="center" wrapText="1"/>
    </xf>
    <xf numFmtId="0" fontId="54" fillId="26" borderId="16" xfId="62" applyFont="1" applyFill="1" applyBorder="1" applyAlignment="1">
      <alignment horizontal="center" vertical="center" wrapText="1"/>
    </xf>
    <xf numFmtId="182" fontId="9" fillId="38" borderId="11" xfId="62" applyNumberFormat="1" applyFill="1" applyBorder="1" applyAlignment="1">
      <alignment horizontal="center" vertical="center"/>
    </xf>
    <xf numFmtId="184" fontId="9" fillId="38" borderId="11" xfId="62" applyNumberFormat="1" applyFill="1" applyBorder="1" applyAlignment="1">
      <alignment horizontal="center" vertical="center"/>
    </xf>
    <xf numFmtId="10" fontId="9" fillId="38" borderId="16" xfId="62" applyNumberFormat="1" applyFill="1" applyBorder="1" applyAlignment="1">
      <alignment horizontal="center" vertical="center"/>
    </xf>
    <xf numFmtId="182" fontId="9" fillId="38" borderId="13" xfId="62" applyNumberFormat="1" applyFill="1" applyBorder="1" applyAlignment="1">
      <alignment horizontal="center" vertical="center"/>
    </xf>
    <xf numFmtId="182" fontId="9" fillId="38" borderId="16" xfId="62" applyNumberFormat="1" applyFill="1" applyBorder="1" applyAlignment="1">
      <alignment horizontal="center" vertical="center"/>
    </xf>
    <xf numFmtId="184" fontId="9" fillId="0" borderId="11" xfId="62" applyNumberFormat="1" applyBorder="1" applyAlignment="1">
      <alignment horizontal="center" vertical="center"/>
    </xf>
    <xf numFmtId="182" fontId="9" fillId="0" borderId="13" xfId="62" applyNumberFormat="1" applyBorder="1" applyAlignment="1">
      <alignment horizontal="center" vertical="center"/>
    </xf>
    <xf numFmtId="182" fontId="9" fillId="0" borderId="16" xfId="62" applyNumberFormat="1" applyBorder="1" applyAlignment="1">
      <alignment horizontal="center" vertical="center"/>
    </xf>
    <xf numFmtId="184" fontId="9" fillId="0" borderId="16" xfId="62" applyNumberFormat="1" applyBorder="1" applyAlignment="1">
      <alignment horizontal="center" vertical="center"/>
    </xf>
    <xf numFmtId="10" fontId="9" fillId="38" borderId="11" xfId="62" applyNumberFormat="1" applyFill="1" applyBorder="1" applyAlignment="1">
      <alignment horizontal="center" vertical="center"/>
    </xf>
    <xf numFmtId="0" fontId="54" fillId="0" borderId="16" xfId="0" applyFont="1" applyBorder="1" applyAlignment="1">
      <alignment horizontal="center" vertical="center" readingOrder="1"/>
    </xf>
    <xf numFmtId="181" fontId="64" fillId="0" borderId="16" xfId="0" applyNumberFormat="1" applyFont="1" applyBorder="1" applyAlignment="1">
      <alignment horizontal="center" vertical="center"/>
    </xf>
    <xf numFmtId="187" fontId="64" fillId="0" borderId="16" xfId="0" applyNumberFormat="1" applyFont="1" applyBorder="1" applyAlignment="1">
      <alignment horizontal="center" vertical="center"/>
    </xf>
    <xf numFmtId="0" fontId="66" fillId="51" borderId="16" xfId="0" applyFont="1" applyFill="1" applyBorder="1" applyAlignment="1">
      <alignment horizontal="right" vertical="center"/>
    </xf>
    <xf numFmtId="188" fontId="65" fillId="51" borderId="16" xfId="0" applyNumberFormat="1" applyFont="1" applyFill="1" applyBorder="1" applyAlignment="1">
      <alignment horizontal="center" vertical="center"/>
    </xf>
    <xf numFmtId="0" fontId="55" fillId="52" borderId="67" xfId="0" applyFont="1" applyFill="1" applyBorder="1" applyAlignment="1">
      <alignment horizontal="center" vertical="center" wrapText="1"/>
    </xf>
    <xf numFmtId="0" fontId="65" fillId="51" borderId="69" xfId="0" applyFont="1" applyFill="1" applyBorder="1" applyAlignment="1">
      <alignment horizontal="center" vertical="center"/>
    </xf>
    <xf numFmtId="0" fontId="65" fillId="51" borderId="70" xfId="0" applyFont="1" applyFill="1" applyBorder="1" applyAlignment="1">
      <alignment horizontal="center" vertical="center"/>
    </xf>
    <xf numFmtId="0" fontId="65" fillId="46" borderId="16" xfId="0" applyFont="1" applyFill="1" applyBorder="1" applyAlignment="1">
      <alignment horizontal="center" vertical="center"/>
    </xf>
    <xf numFmtId="0" fontId="68" fillId="38" borderId="0" xfId="0" applyFont="1" applyFill="1" applyAlignment="1">
      <alignment horizontal="center" vertical="center"/>
    </xf>
    <xf numFmtId="0" fontId="68" fillId="38" borderId="38" xfId="0" applyFont="1" applyFill="1" applyBorder="1" applyAlignment="1">
      <alignment horizontal="center" vertical="center"/>
    </xf>
    <xf numFmtId="0" fontId="55" fillId="51" borderId="67" xfId="0" applyFont="1" applyFill="1" applyBorder="1" applyAlignment="1">
      <alignment horizontal="center" vertical="center"/>
    </xf>
    <xf numFmtId="0" fontId="55" fillId="52" borderId="68" xfId="0" applyFont="1" applyFill="1" applyBorder="1" applyAlignment="1">
      <alignment horizontal="center" vertical="center" wrapText="1"/>
    </xf>
    <xf numFmtId="0" fontId="55" fillId="52" borderId="16" xfId="0" applyFont="1" applyFill="1" applyBorder="1" applyAlignment="1">
      <alignment horizontal="center" vertical="center" wrapText="1"/>
    </xf>
    <xf numFmtId="0" fontId="43" fillId="46" borderId="16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1" fillId="0" borderId="0" xfId="0" applyFon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3" fillId="46" borderId="16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73" fillId="43" borderId="16" xfId="0" applyFont="1" applyFill="1" applyBorder="1" applyAlignment="1">
      <alignment horizontal="center" vertical="center" wrapText="1"/>
    </xf>
    <xf numFmtId="0" fontId="43" fillId="0" borderId="16" xfId="0" applyFon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76" fillId="42" borderId="0" xfId="0" applyFont="1" applyFill="1" applyAlignment="1">
      <alignment horizontal="center" vertical="center" wrapText="1"/>
    </xf>
    <xf numFmtId="0" fontId="85" fillId="55" borderId="0" xfId="0" applyFont="1" applyFill="1" applyAlignment="1"/>
  </cellXfs>
  <cellStyles count="173">
    <cellStyle name="20% - Ênfase1 2" xfId="5" xr:uid="{00000000-0005-0000-0000-000006000000}"/>
    <cellStyle name="20% - Ênfase2 2" xfId="6" xr:uid="{00000000-0005-0000-0000-000007000000}"/>
    <cellStyle name="20% - Ênfase3 2" xfId="7" xr:uid="{00000000-0005-0000-0000-000008000000}"/>
    <cellStyle name="20% - Ênfase4 2" xfId="8" xr:uid="{00000000-0005-0000-0000-000009000000}"/>
    <cellStyle name="20% - Ênfase5 2" xfId="9" xr:uid="{00000000-0005-0000-0000-00000A000000}"/>
    <cellStyle name="20% - Ênfase6 2" xfId="10" xr:uid="{00000000-0005-0000-0000-00000B000000}"/>
    <cellStyle name="40% - Ênfase1 2" xfId="11" xr:uid="{00000000-0005-0000-0000-00000C000000}"/>
    <cellStyle name="40% - Ênfase2 2" xfId="12" xr:uid="{00000000-0005-0000-0000-00000D000000}"/>
    <cellStyle name="40% - Ênfase3 2" xfId="13" xr:uid="{00000000-0005-0000-0000-00000E000000}"/>
    <cellStyle name="40% - Ênfase4 2" xfId="14" xr:uid="{00000000-0005-0000-0000-00000F000000}"/>
    <cellStyle name="40% - Ênfase5 2" xfId="15" xr:uid="{00000000-0005-0000-0000-000010000000}"/>
    <cellStyle name="40% - Ênfase6 2" xfId="16" xr:uid="{00000000-0005-0000-0000-000011000000}"/>
    <cellStyle name="60% - Ênfase1 2" xfId="17" xr:uid="{00000000-0005-0000-0000-000012000000}"/>
    <cellStyle name="60% - Ênfase2 2" xfId="18" xr:uid="{00000000-0005-0000-0000-000013000000}"/>
    <cellStyle name="60% - Ênfase3 2" xfId="19" xr:uid="{00000000-0005-0000-0000-000014000000}"/>
    <cellStyle name="60% - Ênfase3 3" xfId="20" xr:uid="{00000000-0005-0000-0000-000015000000}"/>
    <cellStyle name="60% - Ênfase4 2" xfId="21" xr:uid="{00000000-0005-0000-0000-000016000000}"/>
    <cellStyle name="60% - Ênfase5 2" xfId="22" xr:uid="{00000000-0005-0000-0000-000017000000}"/>
    <cellStyle name="60% - Ênfase6 2" xfId="23" xr:uid="{00000000-0005-0000-0000-000018000000}"/>
    <cellStyle name="Bom 2" xfId="24" xr:uid="{00000000-0005-0000-0000-000019000000}"/>
    <cellStyle name="Cálculo 2" xfId="25" xr:uid="{00000000-0005-0000-0000-00001A000000}"/>
    <cellStyle name="Célula de Verificação 2" xfId="26" xr:uid="{00000000-0005-0000-0000-00001B000000}"/>
    <cellStyle name="Célula Vinculada 2" xfId="27" xr:uid="{00000000-0005-0000-0000-00001C000000}"/>
    <cellStyle name="Ênfase1 2" xfId="155" xr:uid="{00000000-0005-0000-0000-00009C000000}"/>
    <cellStyle name="Ênfase2 2" xfId="156" xr:uid="{00000000-0005-0000-0000-00009D000000}"/>
    <cellStyle name="Ênfase3 2" xfId="157" xr:uid="{00000000-0005-0000-0000-00009E000000}"/>
    <cellStyle name="Ênfase4 2" xfId="158" xr:uid="{00000000-0005-0000-0000-00009F000000}"/>
    <cellStyle name="Ênfase5 2" xfId="159" xr:uid="{00000000-0005-0000-0000-0000A0000000}"/>
    <cellStyle name="Ênfase6 2" xfId="160" xr:uid="{00000000-0005-0000-0000-0000A1000000}"/>
    <cellStyle name="Entrada 2" xfId="28" xr:uid="{00000000-0005-0000-0000-00001D000000}"/>
    <cellStyle name="Euro" xfId="29" xr:uid="{00000000-0005-0000-0000-00001E000000}"/>
    <cellStyle name="Excel Built-in 20% - Accent1" xfId="163" xr:uid="{00000000-0005-0000-0000-0000A4000000}"/>
    <cellStyle name="Excel Built-in 20% - Accent5" xfId="170" xr:uid="{00000000-0005-0000-0000-0000AB000000}"/>
    <cellStyle name="Excel Built-in 20% - Accent6" xfId="167" xr:uid="{00000000-0005-0000-0000-0000A8000000}"/>
    <cellStyle name="Excel Built-in 40% - Accent1" xfId="164" xr:uid="{00000000-0005-0000-0000-0000A5000000}"/>
    <cellStyle name="Excel Built-in 40% - Accent5" xfId="166" xr:uid="{00000000-0005-0000-0000-0000A7000000}"/>
    <cellStyle name="Excel Built-in 40% - Accent6" xfId="168" xr:uid="{00000000-0005-0000-0000-0000A9000000}"/>
    <cellStyle name="Excel Built-in 60% - Accent1" xfId="171" xr:uid="{00000000-0005-0000-0000-0000AC000000}"/>
    <cellStyle name="Excel Built-in 60% - Accent4" xfId="172" xr:uid="{00000000-0005-0000-0000-0000AD000000}"/>
    <cellStyle name="Excel Built-in 60% - Accent5" xfId="165" xr:uid="{00000000-0005-0000-0000-0000A6000000}"/>
    <cellStyle name="Excel Built-in Accent1" xfId="162" xr:uid="{00000000-0005-0000-0000-0000A3000000}"/>
    <cellStyle name="Excel Built-in Accent5" xfId="161" xr:uid="{00000000-0005-0000-0000-0000A2000000}"/>
    <cellStyle name="Excel Built-in Accent6" xfId="169" xr:uid="{00000000-0005-0000-0000-0000AA000000}"/>
    <cellStyle name="Heading 1" xfId="31" xr:uid="{00000000-0005-0000-0000-000020000000}"/>
    <cellStyle name="Heading 4" xfId="30" xr:uid="{00000000-0005-0000-0000-00001F000000}"/>
    <cellStyle name="Hiperlink" xfId="4" builtinId="8"/>
    <cellStyle name="Incorreto 2" xfId="32" xr:uid="{00000000-0005-0000-0000-000021000000}"/>
    <cellStyle name="Moeda" xfId="2" builtinId="4"/>
    <cellStyle name="Moeda 10" xfId="33" xr:uid="{00000000-0005-0000-0000-000022000000}"/>
    <cellStyle name="Moeda 11" xfId="34" xr:uid="{00000000-0005-0000-0000-000023000000}"/>
    <cellStyle name="Moeda 12" xfId="35" xr:uid="{00000000-0005-0000-0000-000024000000}"/>
    <cellStyle name="Moeda 13" xfId="36" xr:uid="{00000000-0005-0000-0000-000025000000}"/>
    <cellStyle name="Moeda 2" xfId="37" xr:uid="{00000000-0005-0000-0000-000026000000}"/>
    <cellStyle name="Moeda 2 2" xfId="38" xr:uid="{00000000-0005-0000-0000-000027000000}"/>
    <cellStyle name="Moeda 2 3" xfId="39" xr:uid="{00000000-0005-0000-0000-000028000000}"/>
    <cellStyle name="Moeda 2 4" xfId="40" xr:uid="{00000000-0005-0000-0000-000029000000}"/>
    <cellStyle name="Moeda 2 5" xfId="41" xr:uid="{00000000-0005-0000-0000-00002A000000}"/>
    <cellStyle name="Moeda 2 6" xfId="42" xr:uid="{00000000-0005-0000-0000-00002B000000}"/>
    <cellStyle name="Moeda 2 7" xfId="43" xr:uid="{00000000-0005-0000-0000-00002C000000}"/>
    <cellStyle name="Moeda 3" xfId="44" xr:uid="{00000000-0005-0000-0000-00002D000000}"/>
    <cellStyle name="Moeda 3 2" xfId="45" xr:uid="{00000000-0005-0000-0000-00002E000000}"/>
    <cellStyle name="Moeda 3 2 2" xfId="46" xr:uid="{00000000-0005-0000-0000-00002F000000}"/>
    <cellStyle name="Moeda 3 2 3" xfId="47" xr:uid="{00000000-0005-0000-0000-000030000000}"/>
    <cellStyle name="Moeda 3 3" xfId="48" xr:uid="{00000000-0005-0000-0000-000031000000}"/>
    <cellStyle name="Moeda 3 4" xfId="49" xr:uid="{00000000-0005-0000-0000-000032000000}"/>
    <cellStyle name="Moeda 3 5" xfId="50" xr:uid="{00000000-0005-0000-0000-000033000000}"/>
    <cellStyle name="Moeda 4" xfId="51" xr:uid="{00000000-0005-0000-0000-000034000000}"/>
    <cellStyle name="Moeda 4 2" xfId="52" xr:uid="{00000000-0005-0000-0000-000035000000}"/>
    <cellStyle name="Moeda 4 3" xfId="53" xr:uid="{00000000-0005-0000-0000-000036000000}"/>
    <cellStyle name="Moeda 5" xfId="54" xr:uid="{00000000-0005-0000-0000-000037000000}"/>
    <cellStyle name="Moeda 5 2" xfId="55" xr:uid="{00000000-0005-0000-0000-000038000000}"/>
    <cellStyle name="Moeda 6" xfId="56" xr:uid="{00000000-0005-0000-0000-000039000000}"/>
    <cellStyle name="Moeda 7" xfId="57" xr:uid="{00000000-0005-0000-0000-00003A000000}"/>
    <cellStyle name="Moeda 8" xfId="58" xr:uid="{00000000-0005-0000-0000-00003B000000}"/>
    <cellStyle name="Moeda 8 2" xfId="59" xr:uid="{00000000-0005-0000-0000-00003C000000}"/>
    <cellStyle name="Moeda 9" xfId="60" xr:uid="{00000000-0005-0000-0000-00003D000000}"/>
    <cellStyle name="Neutra 2" xfId="61" xr:uid="{00000000-0005-0000-0000-00003E000000}"/>
    <cellStyle name="Normal" xfId="0" builtinId="0"/>
    <cellStyle name="Normal 10" xfId="62" xr:uid="{00000000-0005-0000-0000-00003F000000}"/>
    <cellStyle name="Normal 11" xfId="63" xr:uid="{00000000-0005-0000-0000-000040000000}"/>
    <cellStyle name="Normal 2" xfId="64" xr:uid="{00000000-0005-0000-0000-000041000000}"/>
    <cellStyle name="Normal 2 2" xfId="65" xr:uid="{00000000-0005-0000-0000-000042000000}"/>
    <cellStyle name="Normal 2 2 2" xfId="66" xr:uid="{00000000-0005-0000-0000-000043000000}"/>
    <cellStyle name="Normal 2 2 3" xfId="67" xr:uid="{00000000-0005-0000-0000-000044000000}"/>
    <cellStyle name="Normal 2 3" xfId="68" xr:uid="{00000000-0005-0000-0000-000045000000}"/>
    <cellStyle name="Normal 2 3 2" xfId="69" xr:uid="{00000000-0005-0000-0000-000046000000}"/>
    <cellStyle name="Normal 2 4" xfId="70" xr:uid="{00000000-0005-0000-0000-000047000000}"/>
    <cellStyle name="Normal 3" xfId="71" xr:uid="{00000000-0005-0000-0000-000048000000}"/>
    <cellStyle name="Normal 3 2" xfId="72" xr:uid="{00000000-0005-0000-0000-000049000000}"/>
    <cellStyle name="Normal 3 2 2" xfId="73" xr:uid="{00000000-0005-0000-0000-00004A000000}"/>
    <cellStyle name="Normal 3 3" xfId="74" xr:uid="{00000000-0005-0000-0000-00004B000000}"/>
    <cellStyle name="Normal 4" xfId="75" xr:uid="{00000000-0005-0000-0000-00004C000000}"/>
    <cellStyle name="Normal 4 2" xfId="76" xr:uid="{00000000-0005-0000-0000-00004D000000}"/>
    <cellStyle name="Normal 5" xfId="77" xr:uid="{00000000-0005-0000-0000-00004E000000}"/>
    <cellStyle name="Normal 5 2" xfId="78" xr:uid="{00000000-0005-0000-0000-00004F000000}"/>
    <cellStyle name="Normal 5 3" xfId="79" xr:uid="{00000000-0005-0000-0000-000050000000}"/>
    <cellStyle name="Normal 5 4" xfId="80" xr:uid="{00000000-0005-0000-0000-000051000000}"/>
    <cellStyle name="Normal 6" xfId="81" xr:uid="{00000000-0005-0000-0000-000052000000}"/>
    <cellStyle name="Normal 7" xfId="82" xr:uid="{00000000-0005-0000-0000-000053000000}"/>
    <cellStyle name="Normal 8" xfId="83" xr:uid="{00000000-0005-0000-0000-000054000000}"/>
    <cellStyle name="Normal 9" xfId="84" xr:uid="{00000000-0005-0000-0000-000055000000}"/>
    <cellStyle name="Normal 9 2" xfId="85" xr:uid="{00000000-0005-0000-0000-000056000000}"/>
    <cellStyle name="Normal_Plan1" xfId="86" xr:uid="{00000000-0005-0000-0000-000057000000}"/>
    <cellStyle name="Nota 2" xfId="87" xr:uid="{00000000-0005-0000-0000-000058000000}"/>
    <cellStyle name="Porcentagem" xfId="3" builtinId="5"/>
    <cellStyle name="Porcentagem 2" xfId="88" xr:uid="{00000000-0005-0000-0000-000059000000}"/>
    <cellStyle name="Porcentagem 2 2" xfId="89" xr:uid="{00000000-0005-0000-0000-00005A000000}"/>
    <cellStyle name="Porcentagem 2 3" xfId="90" xr:uid="{00000000-0005-0000-0000-00005B000000}"/>
    <cellStyle name="Porcentagem 2 4" xfId="91" xr:uid="{00000000-0005-0000-0000-00005C000000}"/>
    <cellStyle name="Porcentagem 2 5" xfId="92" xr:uid="{00000000-0005-0000-0000-00005D000000}"/>
    <cellStyle name="Porcentagem 3" xfId="93" xr:uid="{00000000-0005-0000-0000-00005E000000}"/>
    <cellStyle name="Porcentagem 3 2" xfId="94" xr:uid="{00000000-0005-0000-0000-00005F000000}"/>
    <cellStyle name="Porcentagem 3 3" xfId="95" xr:uid="{00000000-0005-0000-0000-000060000000}"/>
    <cellStyle name="Porcentagem 4" xfId="96" xr:uid="{00000000-0005-0000-0000-000061000000}"/>
    <cellStyle name="Porcentagem 4 2" xfId="97" xr:uid="{00000000-0005-0000-0000-000062000000}"/>
    <cellStyle name="Porcentagem 4 3" xfId="98" xr:uid="{00000000-0005-0000-0000-000063000000}"/>
    <cellStyle name="Porcentagem 5" xfId="99" xr:uid="{00000000-0005-0000-0000-000064000000}"/>
    <cellStyle name="Porcentagem 5 2" xfId="100" xr:uid="{00000000-0005-0000-0000-000065000000}"/>
    <cellStyle name="Result 5" xfId="101" xr:uid="{00000000-0005-0000-0000-000066000000}"/>
    <cellStyle name="Result2" xfId="102" xr:uid="{00000000-0005-0000-0000-000067000000}"/>
    <cellStyle name="Saída 2" xfId="103" xr:uid="{00000000-0005-0000-0000-000068000000}"/>
    <cellStyle name="Separador de milhares 2" xfId="104" xr:uid="{00000000-0005-0000-0000-000069000000}"/>
    <cellStyle name="Separador de milhares 2 2" xfId="105" xr:uid="{00000000-0005-0000-0000-00006A000000}"/>
    <cellStyle name="Separador de milhares 2 2 2" xfId="106" xr:uid="{00000000-0005-0000-0000-00006B000000}"/>
    <cellStyle name="Separador de milhares 2 3" xfId="107" xr:uid="{00000000-0005-0000-0000-00006C000000}"/>
    <cellStyle name="Separador de milhares 3" xfId="108" xr:uid="{00000000-0005-0000-0000-00006D000000}"/>
    <cellStyle name="Separador de milhares 3 2" xfId="109" xr:uid="{00000000-0005-0000-0000-00006E000000}"/>
    <cellStyle name="Separador de milhares 3 2 2" xfId="110" xr:uid="{00000000-0005-0000-0000-00006F000000}"/>
    <cellStyle name="Separador de milhares 3 3" xfId="111" xr:uid="{00000000-0005-0000-0000-000070000000}"/>
    <cellStyle name="Separador de milhares 3 3 2" xfId="112" xr:uid="{00000000-0005-0000-0000-000071000000}"/>
    <cellStyle name="Separador de milhares 3 4" xfId="113" xr:uid="{00000000-0005-0000-0000-000072000000}"/>
    <cellStyle name="Separador de milhares 4" xfId="114" xr:uid="{00000000-0005-0000-0000-000073000000}"/>
    <cellStyle name="Separador de milhares 4 2" xfId="115" xr:uid="{00000000-0005-0000-0000-000074000000}"/>
    <cellStyle name="Separador de milhares 5" xfId="116" xr:uid="{00000000-0005-0000-0000-000075000000}"/>
    <cellStyle name="Separador de milhares 5 2" xfId="117" xr:uid="{00000000-0005-0000-0000-000076000000}"/>
    <cellStyle name="Texto de Aviso 2" xfId="118" xr:uid="{00000000-0005-0000-0000-000077000000}"/>
    <cellStyle name="Texto Explicativo 2" xfId="119" xr:uid="{00000000-0005-0000-0000-000078000000}"/>
    <cellStyle name="Título 1 1" xfId="121" xr:uid="{00000000-0005-0000-0000-00007A000000}"/>
    <cellStyle name="Título 1 1 1" xfId="122" xr:uid="{00000000-0005-0000-0000-00007B000000}"/>
    <cellStyle name="Título 2 2" xfId="123" xr:uid="{00000000-0005-0000-0000-00007C000000}"/>
    <cellStyle name="Título 3 2" xfId="124" xr:uid="{00000000-0005-0000-0000-00007D000000}"/>
    <cellStyle name="Título 4 2" xfId="125" xr:uid="{00000000-0005-0000-0000-00007E000000}"/>
    <cellStyle name="Título 5" xfId="126" xr:uid="{00000000-0005-0000-0000-00007F000000}"/>
    <cellStyle name="Total 2" xfId="120" xr:uid="{00000000-0005-0000-0000-000079000000}"/>
    <cellStyle name="Vírgula" xfId="1" builtinId="3"/>
    <cellStyle name="Vírgula 10" xfId="127" xr:uid="{00000000-0005-0000-0000-000080000000}"/>
    <cellStyle name="Vírgula 2" xfId="128" xr:uid="{00000000-0005-0000-0000-000081000000}"/>
    <cellStyle name="Vírgula 2 2" xfId="129" xr:uid="{00000000-0005-0000-0000-000082000000}"/>
    <cellStyle name="Vírgula 2 2 2" xfId="130" xr:uid="{00000000-0005-0000-0000-000083000000}"/>
    <cellStyle name="Vírgula 2 2 2 2" xfId="131" xr:uid="{00000000-0005-0000-0000-000084000000}"/>
    <cellStyle name="Vírgula 2 2 3" xfId="132" xr:uid="{00000000-0005-0000-0000-000085000000}"/>
    <cellStyle name="Vírgula 2 2 4" xfId="133" xr:uid="{00000000-0005-0000-0000-000086000000}"/>
    <cellStyle name="Vírgula 2 2 5" xfId="134" xr:uid="{00000000-0005-0000-0000-000087000000}"/>
    <cellStyle name="Vírgula 2 3" xfId="135" xr:uid="{00000000-0005-0000-0000-000088000000}"/>
    <cellStyle name="Vírgula 2 4" xfId="136" xr:uid="{00000000-0005-0000-0000-000089000000}"/>
    <cellStyle name="Vírgula 2 5" xfId="137" xr:uid="{00000000-0005-0000-0000-00008A000000}"/>
    <cellStyle name="Vírgula 2 6" xfId="138" xr:uid="{00000000-0005-0000-0000-00008B000000}"/>
    <cellStyle name="Vírgula 2 7" xfId="139" xr:uid="{00000000-0005-0000-0000-00008C000000}"/>
    <cellStyle name="Vírgula 3" xfId="140" xr:uid="{00000000-0005-0000-0000-00008D000000}"/>
    <cellStyle name="Vírgula 3 2" xfId="141" xr:uid="{00000000-0005-0000-0000-00008E000000}"/>
    <cellStyle name="Vírgula 3 3" xfId="142" xr:uid="{00000000-0005-0000-0000-00008F000000}"/>
    <cellStyle name="Vírgula 4" xfId="143" xr:uid="{00000000-0005-0000-0000-000090000000}"/>
    <cellStyle name="Vírgula 4 2" xfId="144" xr:uid="{00000000-0005-0000-0000-000091000000}"/>
    <cellStyle name="Vírgula 4 3" xfId="145" xr:uid="{00000000-0005-0000-0000-000092000000}"/>
    <cellStyle name="Vírgula 5" xfId="146" xr:uid="{00000000-0005-0000-0000-000093000000}"/>
    <cellStyle name="Vírgula 5 2" xfId="147" xr:uid="{00000000-0005-0000-0000-000094000000}"/>
    <cellStyle name="Vírgula 5 3" xfId="148" xr:uid="{00000000-0005-0000-0000-000095000000}"/>
    <cellStyle name="Vírgula 6" xfId="149" xr:uid="{00000000-0005-0000-0000-000096000000}"/>
    <cellStyle name="Vírgula 6 2" xfId="150" xr:uid="{00000000-0005-0000-0000-000097000000}"/>
    <cellStyle name="Vírgula 7" xfId="151" xr:uid="{00000000-0005-0000-0000-000098000000}"/>
    <cellStyle name="Vírgula 7 2" xfId="152" xr:uid="{00000000-0005-0000-0000-000099000000}"/>
    <cellStyle name="Vírgula 8" xfId="153" xr:uid="{00000000-0005-0000-0000-00009A000000}"/>
    <cellStyle name="Vírgula 9" xfId="154" xr:uid="{00000000-0005-0000-0000-00009B000000}"/>
  </cellStyles>
  <dxfs count="5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9" tint="0.59987182226020086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D0CECE"/>
      <rgbColor rgb="FFA9D18E"/>
      <rgbColor rgb="FFE7E6E6"/>
      <rgbColor rgb="FF0A8D14"/>
      <rgbColor rgb="FFF2F2F2"/>
      <rgbColor rgb="FFED7D31"/>
      <rgbColor rgb="FF800080"/>
      <rgbColor rgb="FF2E75B6"/>
      <rgbColor rgb="FFC0C0C0"/>
      <rgbColor rgb="FF808080"/>
      <rgbColor rgb="FF8FAADC"/>
      <rgbColor rgb="FFF4B183"/>
      <rgbColor rgb="FFFFFFCC"/>
      <rgbColor rgb="FFCCFFEE"/>
      <rgbColor rgb="FFD9E1F2"/>
      <rgbColor rgb="FFFF8080"/>
      <rgbColor rgb="FF0165CA"/>
      <rgbColor rgb="FFC5D5F9"/>
      <rgbColor rgb="FFFFF2CC"/>
      <rgbColor rgb="FFD9D9D9"/>
      <rgbColor rgb="FFFFD966"/>
      <rgbColor rgb="FFA9D08E"/>
      <rgbColor rgb="FFDDDDDF"/>
      <rgbColor rgb="FFFBE5D6"/>
      <rgbColor rgb="FF1F4E78"/>
      <rgbColor rgb="FFEDEDED"/>
      <rgbColor rgb="FF00B0F0"/>
      <rgbColor rgb="FFDEEBF7"/>
      <rgbColor rgb="FFE2F0D9"/>
      <rgbColor rgb="FFFFFF99"/>
      <rgbColor rgb="FF9ACAFC"/>
      <rgbColor rgb="FFFF99CC"/>
      <rgbColor rgb="FFCC99FF"/>
      <rgbColor rgb="FFFFCC99"/>
      <rgbColor rgb="FF4472C4"/>
      <rgbColor rgb="FF33CCCC"/>
      <rgbColor rgb="FF87C94D"/>
      <rgbColor rgb="FFFFCC00"/>
      <rgbColor rgb="FFFF9900"/>
      <rgbColor rgb="FFFF6600"/>
      <rgbColor rgb="FF726E6E"/>
      <rgbColor rgb="FF7F7F7F"/>
      <rgbColor rgb="FF002B65"/>
      <rgbColor rgb="FF5B9BD5"/>
      <rgbColor rgb="FFDAE3F3"/>
      <rgbColor rgb="FFC5E0B4"/>
      <rgbColor rgb="FFFFC000"/>
      <rgbColor rgb="FFB4C7E7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23760</xdr:colOff>
      <xdr:row>0</xdr:row>
      <xdr:rowOff>71280</xdr:rowOff>
    </xdr:from>
    <xdr:to>
      <xdr:col>1</xdr:col>
      <xdr:colOff>1707120</xdr:colOff>
      <xdr:row>0</xdr:row>
      <xdr:rowOff>673200</xdr:rowOff>
    </xdr:to>
    <xdr:pic>
      <xdr:nvPicPr>
        <xdr:cNvPr id="2" name="Imagem 2" descr="Texto&#10;&#10;Descrição gerada automaticament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3760" y="71280"/>
          <a:ext cx="2045880" cy="601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187200</xdr:colOff>
      <xdr:row>0</xdr:row>
      <xdr:rowOff>57240</xdr:rowOff>
    </xdr:from>
    <xdr:to>
      <xdr:col>2</xdr:col>
      <xdr:colOff>2215800</xdr:colOff>
      <xdr:row>1</xdr:row>
      <xdr:rowOff>171360</xdr:rowOff>
    </xdr:to>
    <xdr:pic>
      <xdr:nvPicPr>
        <xdr:cNvPr id="2" name="Imagem 1" descr="Texto&#10;&#10;Descrição gerada automaticament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00120" y="57240"/>
          <a:ext cx="2028600" cy="599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69840</xdr:colOff>
      <xdr:row>2</xdr:row>
      <xdr:rowOff>82440</xdr:rowOff>
    </xdr:from>
    <xdr:to>
      <xdr:col>2</xdr:col>
      <xdr:colOff>894960</xdr:colOff>
      <xdr:row>2</xdr:row>
      <xdr:rowOff>736200</xdr:rowOff>
    </xdr:to>
    <xdr:pic>
      <xdr:nvPicPr>
        <xdr:cNvPr id="2" name="Imagem 1" descr="Texto&#10;&#10;Descrição gerada automaticament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70280" y="587160"/>
          <a:ext cx="1348200" cy="6537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23</xdr:col>
      <xdr:colOff>685800</xdr:colOff>
      <xdr:row>2</xdr:row>
      <xdr:rowOff>285840</xdr:rowOff>
    </xdr:from>
    <xdr:to>
      <xdr:col>31</xdr:col>
      <xdr:colOff>352080</xdr:colOff>
      <xdr:row>13</xdr:row>
      <xdr:rowOff>190080</xdr:rowOff>
    </xdr:to>
    <xdr:pic>
      <xdr:nvPicPr>
        <xdr:cNvPr id="3" name="Picture 718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34344720" y="790560"/>
          <a:ext cx="5456160" cy="29048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jce365.sharepoint.com/Users/alexandre.machry/Desktop/MODELO_PLANILHA_SINDASSE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ntes"/>
      <sheetName val="Base Apoio - etapa 1"/>
      <sheetName val="PC 12x36 - DIURNO"/>
      <sheetName val="PC 12x36 - NOTURNO"/>
      <sheetName val="PC 44H-6D"/>
      <sheetName val="PC 44H-5D"/>
      <sheetName val="PC 36H"/>
      <sheetName val="PC 30H"/>
      <sheetName val="RESUM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esquisa.apps.tcu.gov.br/" TargetMode="Externa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4:D6"/>
  <sheetViews>
    <sheetView zoomScaleNormal="100" workbookViewId="0"/>
  </sheetViews>
  <sheetFormatPr defaultColWidth="8.7109375" defaultRowHeight="15"/>
  <cols>
    <col min="4" max="4" width="20.5703125" customWidth="1"/>
  </cols>
  <sheetData>
    <row r="4" spans="4:4">
      <c r="D4" t="s">
        <v>0</v>
      </c>
    </row>
    <row r="5" spans="4:4">
      <c r="D5" t="s">
        <v>1</v>
      </c>
    </row>
    <row r="6" spans="4:4">
      <c r="D6" t="s">
        <v>2</v>
      </c>
    </row>
  </sheetData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BE5D6"/>
  </sheetPr>
  <dimension ref="B2:W17"/>
  <sheetViews>
    <sheetView zoomScaleNormal="100" workbookViewId="0"/>
  </sheetViews>
  <sheetFormatPr defaultColWidth="8.7109375" defaultRowHeight="15"/>
  <cols>
    <col min="1" max="1" width="1.42578125" customWidth="1"/>
    <col min="2" max="2" width="7.42578125" customWidth="1"/>
    <col min="3" max="3" width="70.28515625" customWidth="1"/>
    <col min="4" max="4" width="20.140625" style="27" customWidth="1"/>
    <col min="5" max="5" width="18.5703125" customWidth="1"/>
    <col min="6" max="6" width="22" customWidth="1"/>
    <col min="7" max="7" width="22.28515625" customWidth="1"/>
    <col min="8" max="12" width="25.42578125" customWidth="1"/>
    <col min="13" max="15" width="20.28515625" customWidth="1"/>
    <col min="16" max="16" width="20.140625" customWidth="1"/>
    <col min="17" max="18" width="18.7109375" customWidth="1"/>
    <col min="19" max="19" width="14.140625" customWidth="1"/>
    <col min="20" max="20" width="18.140625" customWidth="1"/>
    <col min="21" max="21" width="17.42578125" customWidth="1"/>
    <col min="22" max="22" width="8.5703125" customWidth="1"/>
    <col min="23" max="23" width="11.5703125" customWidth="1"/>
    <col min="24" max="25" width="10.5703125" customWidth="1"/>
    <col min="26" max="26" width="9.140625" customWidth="1"/>
    <col min="27" max="28" width="11.140625" customWidth="1"/>
    <col min="29" max="29" width="11.28515625" customWidth="1"/>
    <col min="30" max="31" width="9.140625" customWidth="1"/>
  </cols>
  <sheetData>
    <row r="2" spans="2:23" ht="24.75" customHeight="1">
      <c r="B2" s="729" t="s">
        <v>526</v>
      </c>
      <c r="C2" s="729"/>
      <c r="D2" s="729"/>
      <c r="E2" s="729"/>
      <c r="F2" s="729"/>
      <c r="G2" s="729"/>
      <c r="H2" s="729"/>
      <c r="I2" s="729"/>
      <c r="J2" s="729"/>
      <c r="K2" s="729"/>
      <c r="L2" s="729"/>
      <c r="M2" s="729"/>
      <c r="N2" s="729"/>
      <c r="O2" s="729"/>
      <c r="P2" s="729"/>
      <c r="Q2" s="729"/>
      <c r="R2" s="729"/>
      <c r="S2" s="729"/>
      <c r="T2" s="729"/>
      <c r="U2" s="729"/>
      <c r="V2" s="729"/>
      <c r="W2" s="729"/>
    </row>
    <row r="3" spans="2:23" ht="62.25" customHeight="1">
      <c r="B3" s="730" t="s">
        <v>527</v>
      </c>
      <c r="C3" s="730"/>
      <c r="D3" s="549" t="s">
        <v>528</v>
      </c>
      <c r="E3" s="550" t="s">
        <v>529</v>
      </c>
      <c r="F3" s="549" t="s">
        <v>530</v>
      </c>
      <c r="G3" s="549" t="s">
        <v>531</v>
      </c>
      <c r="H3" s="551" t="s">
        <v>532</v>
      </c>
      <c r="I3" s="551" t="s">
        <v>533</v>
      </c>
      <c r="J3" s="551" t="s">
        <v>534</v>
      </c>
      <c r="K3" s="551" t="s">
        <v>535</v>
      </c>
      <c r="L3" s="549" t="s">
        <v>536</v>
      </c>
      <c r="M3" s="551" t="s">
        <v>537</v>
      </c>
      <c r="N3" s="551" t="s">
        <v>538</v>
      </c>
      <c r="O3" s="551" t="s">
        <v>539</v>
      </c>
      <c r="P3" s="551" t="s">
        <v>540</v>
      </c>
      <c r="Q3" s="551" t="s">
        <v>541</v>
      </c>
      <c r="R3" s="551" t="s">
        <v>542</v>
      </c>
      <c r="S3" s="551" t="s">
        <v>543</v>
      </c>
      <c r="T3" s="551" t="s">
        <v>544</v>
      </c>
      <c r="U3" s="549" t="s">
        <v>545</v>
      </c>
      <c r="V3" s="551" t="s">
        <v>546</v>
      </c>
      <c r="W3" s="551" t="s">
        <v>547</v>
      </c>
    </row>
    <row r="4" spans="2:23" ht="14.25" customHeight="1">
      <c r="B4" s="731"/>
      <c r="C4" s="731"/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731"/>
      <c r="O4" s="731"/>
      <c r="P4" s="731"/>
      <c r="Q4" s="731"/>
      <c r="R4" s="731"/>
      <c r="S4" s="731"/>
      <c r="T4" s="731"/>
      <c r="U4" s="731"/>
    </row>
    <row r="5" spans="2:23" ht="26.25" customHeight="1">
      <c r="B5" s="728">
        <v>1</v>
      </c>
      <c r="C5" s="552" t="s">
        <v>548</v>
      </c>
      <c r="D5" s="553">
        <f>2895250.92+D6+D13</f>
        <v>3265680.62</v>
      </c>
      <c r="E5" s="553">
        <f>1414638.24+E6</f>
        <v>1574297.28</v>
      </c>
      <c r="F5" s="553">
        <f>(118134.28+32340.72+8477.04+17974.62+13357.25+4036.45+4233.43+742.71+4379.87+424.41+203.67+8032.21)*12</f>
        <v>2548039.92</v>
      </c>
      <c r="G5" s="553">
        <f>(1642357.44-117696.6-23013.12-13087.18-38375.76)*12</f>
        <v>17402217.359999999</v>
      </c>
      <c r="H5" s="553">
        <f>(1124664.55-55905.51)</f>
        <v>1068759.04</v>
      </c>
      <c r="I5" s="553">
        <f>(908998.59-40035.06-20180.56-4705.16)*12</f>
        <v>10128933.719999999</v>
      </c>
      <c r="J5" s="553">
        <f>(223005.41+14644.21-7619.67)*12</f>
        <v>2760359.4</v>
      </c>
      <c r="K5" s="553">
        <f>(310390.8+694636.2+12758642.4)</f>
        <v>13763669.4</v>
      </c>
      <c r="L5" s="553">
        <f>(849976.01-8402.54-4397.23)*12</f>
        <v>10046114.879999999</v>
      </c>
      <c r="M5" s="553">
        <f>1189529.44+88686.96</f>
        <v>1278216.3999999999</v>
      </c>
      <c r="N5" s="554">
        <v>2593999.48</v>
      </c>
      <c r="O5" s="554">
        <f>1132451.11</f>
        <v>1132451.1100000001</v>
      </c>
      <c r="P5" s="554">
        <v>61098410.640000001</v>
      </c>
      <c r="Q5" s="553">
        <v>3149000</v>
      </c>
      <c r="R5" s="553">
        <v>3987168</v>
      </c>
      <c r="S5" s="553"/>
      <c r="T5" s="553">
        <f>(545808.96+856507.75+168826.68+81159.1)*12</f>
        <v>19827629.879999999</v>
      </c>
      <c r="U5" s="553"/>
    </row>
    <row r="6" spans="2:23" ht="30" customHeight="1">
      <c r="B6" s="728"/>
      <c r="C6" s="555" t="s">
        <v>549</v>
      </c>
      <c r="D6" s="556">
        <f>296049.59+35758.18</f>
        <v>331807.77</v>
      </c>
      <c r="E6" s="556">
        <v>159659.04</v>
      </c>
      <c r="F6" s="556">
        <v>190476.59</v>
      </c>
      <c r="G6" s="557">
        <f>(68001.93*12)+(70546.68*12)</f>
        <v>1662583.3199999998</v>
      </c>
      <c r="H6" s="558"/>
      <c r="I6" s="559">
        <f>(170458*12)</f>
        <v>2045496</v>
      </c>
      <c r="J6" s="560"/>
      <c r="K6" s="560"/>
      <c r="L6" s="561">
        <v>1394038.24</v>
      </c>
      <c r="M6" s="561">
        <f>(371953.86-3826.31-4928.83-4488.65-32453.91-1467.13-1259.94-1236.36-3183.06-4829.39-9863.88)</f>
        <v>304416.39999999997</v>
      </c>
      <c r="N6" s="557">
        <v>265878.38</v>
      </c>
      <c r="O6" s="557">
        <v>192453</v>
      </c>
      <c r="P6" s="557">
        <v>16851623.879999999</v>
      </c>
      <c r="Q6" s="560">
        <v>329485.44</v>
      </c>
      <c r="R6" s="557">
        <v>325820.57</v>
      </c>
      <c r="S6" s="557"/>
      <c r="T6" s="557">
        <f>233373.23*12</f>
        <v>2800478.7600000002</v>
      </c>
      <c r="U6" s="560">
        <f>AVERAGE(D6:R6)</f>
        <v>2004478.2191666665</v>
      </c>
    </row>
    <row r="7" spans="2:23">
      <c r="B7" s="728"/>
      <c r="C7" s="562" t="s">
        <v>550</v>
      </c>
      <c r="D7" s="558">
        <f>D6/D5</f>
        <v>0.10160447655778415</v>
      </c>
      <c r="E7" s="558">
        <f>E6/E5</f>
        <v>0.10141606799955852</v>
      </c>
      <c r="F7" s="558">
        <f>F6/F5</f>
        <v>7.4754162407314251E-2</v>
      </c>
      <c r="G7" s="558">
        <f>G6/G5</f>
        <v>9.5538590606363966E-2</v>
      </c>
      <c r="H7" s="563"/>
      <c r="I7" s="539">
        <f>I6/I5</f>
        <v>0.20194583719716552</v>
      </c>
      <c r="J7" s="558"/>
      <c r="K7" s="558"/>
      <c r="L7" s="558">
        <f t="shared" ref="L7:R7" si="0">L6/L5</f>
        <v>0.13876391586714565</v>
      </c>
      <c r="M7" s="539">
        <f t="shared" si="0"/>
        <v>0.23815716963105776</v>
      </c>
      <c r="N7" s="558">
        <f t="shared" si="0"/>
        <v>0.10249746850373309</v>
      </c>
      <c r="O7" s="558">
        <f t="shared" si="0"/>
        <v>0.16994376030944064</v>
      </c>
      <c r="P7" s="539">
        <f t="shared" si="0"/>
        <v>0.27581116601038969</v>
      </c>
      <c r="Q7" s="558">
        <f t="shared" si="0"/>
        <v>0.10463176881549699</v>
      </c>
      <c r="R7" s="564">
        <f t="shared" si="0"/>
        <v>8.1717291571360928E-2</v>
      </c>
      <c r="S7" s="564">
        <v>9.3899999999999997E-2</v>
      </c>
      <c r="T7" s="564">
        <f>T6/T5</f>
        <v>0.1412412263568035</v>
      </c>
      <c r="U7" s="565">
        <f>AVERAGE(D7:S7)</f>
        <v>0.13697551349821627</v>
      </c>
      <c r="V7" s="566">
        <v>6.6100000000000006E-2</v>
      </c>
      <c r="W7" s="567">
        <v>0.1336</v>
      </c>
    </row>
    <row r="8" spans="2:23" ht="13.5" customHeight="1">
      <c r="B8" s="568"/>
      <c r="C8" s="562"/>
      <c r="D8" s="569"/>
      <c r="E8" s="563"/>
      <c r="F8" s="569"/>
      <c r="G8" s="569"/>
      <c r="H8" s="563"/>
      <c r="I8" s="563"/>
      <c r="J8" s="563"/>
      <c r="K8" s="563"/>
      <c r="L8" s="563"/>
      <c r="M8" s="569"/>
      <c r="N8" s="570"/>
      <c r="O8" s="570"/>
      <c r="P8" s="570"/>
    </row>
    <row r="9" spans="2:23">
      <c r="B9" s="728">
        <v>2</v>
      </c>
      <c r="C9" s="571" t="s">
        <v>551</v>
      </c>
      <c r="D9" s="572"/>
      <c r="E9" s="572"/>
      <c r="F9" s="572"/>
      <c r="G9" s="572">
        <f>(13087.18+38375.76)*12</f>
        <v>617555.28</v>
      </c>
      <c r="H9" s="572">
        <v>55905.51</v>
      </c>
      <c r="I9" s="572">
        <f>(40035.06+4705.16)*12</f>
        <v>536882.64</v>
      </c>
      <c r="J9" s="572">
        <f>(7619.67+5095)*12</f>
        <v>152576.04</v>
      </c>
      <c r="K9" s="572">
        <f>527513.4</f>
        <v>527513.4</v>
      </c>
      <c r="L9" s="572"/>
      <c r="M9" s="572"/>
      <c r="N9" s="572"/>
      <c r="O9" s="572"/>
      <c r="P9" s="572"/>
      <c r="Q9" s="573"/>
      <c r="R9" s="573"/>
      <c r="S9" s="573"/>
      <c r="T9" s="573"/>
      <c r="U9" s="574">
        <v>0.12</v>
      </c>
    </row>
    <row r="10" spans="2:23">
      <c r="B10" s="728"/>
      <c r="C10" s="575" t="s">
        <v>552</v>
      </c>
      <c r="D10" s="559"/>
      <c r="E10" s="559"/>
      <c r="F10" s="559"/>
      <c r="G10" s="559">
        <f>30.75*12</f>
        <v>369</v>
      </c>
      <c r="H10" s="559">
        <v>198.41</v>
      </c>
      <c r="I10" s="559"/>
      <c r="J10" s="559">
        <v>2159.9</v>
      </c>
      <c r="K10" s="559">
        <f>(123.96*12)</f>
        <v>1487.52</v>
      </c>
      <c r="L10" s="559"/>
      <c r="M10" s="559"/>
      <c r="N10" s="559"/>
      <c r="O10" s="559"/>
      <c r="P10" s="559"/>
      <c r="Q10" s="576"/>
      <c r="R10" s="576"/>
      <c r="S10" s="577"/>
      <c r="T10" s="577"/>
      <c r="U10" s="578">
        <f>AVERAGE(G10:K10)</f>
        <v>1053.7075</v>
      </c>
      <c r="V10" s="579"/>
      <c r="W10" s="580"/>
    </row>
    <row r="11" spans="2:23">
      <c r="B11" s="728"/>
      <c r="C11" s="571" t="s">
        <v>553</v>
      </c>
      <c r="D11" s="558"/>
      <c r="E11" s="558"/>
      <c r="F11" s="558"/>
      <c r="G11" s="558">
        <f>G10/G9</f>
        <v>5.9751735909374778E-4</v>
      </c>
      <c r="H11" s="558">
        <f>H10/H9</f>
        <v>3.5490240586303567E-3</v>
      </c>
      <c r="I11" s="558"/>
      <c r="J11" s="558">
        <f>J10/J9</f>
        <v>1.4156220072299688E-2</v>
      </c>
      <c r="K11" s="558">
        <f>K10/K9</f>
        <v>2.819871495207515E-3</v>
      </c>
      <c r="L11" s="558"/>
      <c r="M11" s="558"/>
      <c r="N11" s="558"/>
      <c r="O11" s="558"/>
      <c r="P11" s="558"/>
      <c r="Q11" s="576"/>
      <c r="R11" s="576"/>
      <c r="S11" s="576"/>
      <c r="T11" s="576"/>
      <c r="U11" s="581">
        <f>AVERAGE(G11:K11)</f>
        <v>5.2806582463078271E-3</v>
      </c>
      <c r="V11" s="579">
        <v>6.0000000000000001E-3</v>
      </c>
      <c r="W11" s="567">
        <v>2.3E-3</v>
      </c>
    </row>
    <row r="12" spans="2:23">
      <c r="B12" s="727"/>
      <c r="C12" s="727"/>
      <c r="D12" s="727"/>
      <c r="E12" s="727"/>
      <c r="F12" s="727"/>
      <c r="G12" s="727"/>
      <c r="H12" s="727"/>
      <c r="I12" s="727"/>
      <c r="J12" s="727"/>
      <c r="K12" s="727"/>
      <c r="L12" s="727"/>
      <c r="M12" s="727"/>
      <c r="N12" s="727"/>
      <c r="O12" s="727"/>
      <c r="P12" s="727"/>
      <c r="Q12" s="727"/>
      <c r="R12" s="727"/>
      <c r="S12" s="727"/>
      <c r="T12" s="727"/>
      <c r="U12" s="727"/>
      <c r="V12" s="579"/>
    </row>
    <row r="13" spans="2:23">
      <c r="B13" s="728">
        <v>3</v>
      </c>
      <c r="C13" s="575" t="s">
        <v>554</v>
      </c>
      <c r="D13" s="559">
        <v>38621.93</v>
      </c>
      <c r="E13" s="559">
        <v>473558.56</v>
      </c>
      <c r="F13" s="559">
        <v>17717.34</v>
      </c>
      <c r="G13" s="559">
        <f>(2523.57*12)</f>
        <v>30282.840000000004</v>
      </c>
      <c r="H13" s="559">
        <f>112.28*12</f>
        <v>1347.3600000000001</v>
      </c>
      <c r="I13" s="559">
        <f>(978*12)</f>
        <v>11736</v>
      </c>
      <c r="J13" s="559">
        <f>(90.02*12)+36598.8</f>
        <v>37679.040000000001</v>
      </c>
      <c r="K13" s="559">
        <f>1835.16*12</f>
        <v>22021.920000000002</v>
      </c>
      <c r="L13" s="559">
        <f>1818.24*12</f>
        <v>21818.880000000001</v>
      </c>
      <c r="M13" s="559">
        <f>(20.84*3)*12</f>
        <v>750.24</v>
      </c>
      <c r="N13" s="582">
        <v>37517.64</v>
      </c>
      <c r="O13" s="582">
        <v>7523.28</v>
      </c>
      <c r="P13" s="582">
        <v>1010386.8</v>
      </c>
      <c r="Q13" s="582">
        <v>36766.28</v>
      </c>
      <c r="R13" s="582">
        <v>9174.7199999999993</v>
      </c>
      <c r="S13" s="582"/>
      <c r="T13" s="582"/>
      <c r="U13" s="582">
        <f>AVERAGE(D13:R13)</f>
        <v>117126.85533333334</v>
      </c>
      <c r="V13" s="579"/>
    </row>
    <row r="14" spans="2:23">
      <c r="B14" s="728"/>
      <c r="C14" s="571" t="s">
        <v>555</v>
      </c>
      <c r="D14" s="558">
        <f t="shared" ref="D14:R14" si="1">D13/D5</f>
        <v>1.182660967011526E-2</v>
      </c>
      <c r="E14" s="539">
        <f t="shared" si="1"/>
        <v>0.3008063127695933</v>
      </c>
      <c r="F14" s="558">
        <f t="shared" si="1"/>
        <v>6.9533212022832051E-3</v>
      </c>
      <c r="G14" s="558">
        <f t="shared" si="1"/>
        <v>1.7401713456129365E-3</v>
      </c>
      <c r="H14" s="558">
        <f t="shared" si="1"/>
        <v>1.2606770558871718E-3</v>
      </c>
      <c r="I14" s="558">
        <f t="shared" si="1"/>
        <v>1.1586609533071365E-3</v>
      </c>
      <c r="J14" s="558">
        <f t="shared" si="1"/>
        <v>1.365004861323493E-2</v>
      </c>
      <c r="K14" s="558">
        <f t="shared" si="1"/>
        <v>1.6000035571909336E-3</v>
      </c>
      <c r="L14" s="558">
        <f t="shared" si="1"/>
        <v>2.1718724363223689E-3</v>
      </c>
      <c r="M14" s="539">
        <f t="shared" si="1"/>
        <v>5.8694286820291149E-4</v>
      </c>
      <c r="N14" s="558">
        <f t="shared" si="1"/>
        <v>1.4463241141436158E-2</v>
      </c>
      <c r="O14" s="558">
        <f t="shared" si="1"/>
        <v>6.6433596413711842E-3</v>
      </c>
      <c r="P14" s="558">
        <f t="shared" si="1"/>
        <v>1.6537039006682745E-2</v>
      </c>
      <c r="Q14" s="558">
        <f t="shared" si="1"/>
        <v>1.1675541441727532E-2</v>
      </c>
      <c r="R14" s="558">
        <f t="shared" si="1"/>
        <v>2.3010618062745286E-3</v>
      </c>
      <c r="S14" s="558"/>
      <c r="T14" s="558"/>
      <c r="U14" s="565">
        <f>AVERAGE(D14:R14)</f>
        <v>2.6224990900616158E-2</v>
      </c>
      <c r="V14" s="579">
        <v>7.6200000000000004E-2</v>
      </c>
      <c r="W14" s="567">
        <v>6.6E-3</v>
      </c>
    </row>
    <row r="15" spans="2:23" ht="9.75" customHeight="1">
      <c r="B15" s="583"/>
      <c r="C15" s="584"/>
      <c r="D15" s="585"/>
      <c r="E15" s="584"/>
      <c r="F15" s="584"/>
      <c r="G15" s="584"/>
      <c r="H15" s="584"/>
      <c r="I15" s="584"/>
      <c r="J15" s="584"/>
      <c r="K15" s="584"/>
      <c r="L15" s="586"/>
      <c r="M15" s="586"/>
      <c r="N15" s="586"/>
      <c r="O15" s="586"/>
      <c r="V15" s="579"/>
      <c r="W15" s="580"/>
    </row>
    <row r="17" spans="21:21">
      <c r="U17" s="587"/>
    </row>
  </sheetData>
  <mergeCells count="7">
    <mergeCell ref="B12:U12"/>
    <mergeCell ref="B13:B14"/>
    <mergeCell ref="B2:W2"/>
    <mergeCell ref="B3:C3"/>
    <mergeCell ref="B4:U4"/>
    <mergeCell ref="B5:B7"/>
    <mergeCell ref="B9:B11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  <pageSetUpPr fitToPage="1"/>
  </sheetPr>
  <dimension ref="A1:P192"/>
  <sheetViews>
    <sheetView zoomScaleNormal="100" workbookViewId="0">
      <pane xSplit="2" ySplit="5" topLeftCell="C6" activePane="bottomRight" state="frozen"/>
      <selection pane="bottomRight" activeCell="G7" sqref="G7"/>
      <selection pane="bottomLeft" activeCell="A6" sqref="A6"/>
      <selection pane="topRight" activeCell="C1" sqref="C1"/>
    </sheetView>
  </sheetViews>
  <sheetFormatPr defaultColWidth="8.7109375" defaultRowHeight="15"/>
  <cols>
    <col min="1" max="1" width="5" customWidth="1"/>
    <col min="2" max="2" width="28" customWidth="1"/>
    <col min="3" max="4" width="14" customWidth="1"/>
    <col min="5" max="6" width="12" customWidth="1"/>
    <col min="7" max="7" width="11" customWidth="1"/>
    <col min="8" max="9" width="12" customWidth="1"/>
    <col min="10" max="10" width="13" customWidth="1"/>
    <col min="11" max="11" width="11" customWidth="1"/>
    <col min="12" max="12" width="14.140625" customWidth="1"/>
    <col min="13" max="13" width="12" customWidth="1"/>
    <col min="14" max="14" width="11" customWidth="1"/>
    <col min="15" max="16" width="12" customWidth="1"/>
  </cols>
  <sheetData>
    <row r="1" spans="1:16" ht="27.75" customHeight="1">
      <c r="A1" s="649" t="s">
        <v>556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</row>
    <row r="2" spans="1:16" ht="42" customHeight="1">
      <c r="A2" s="650" t="s">
        <v>557</v>
      </c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</row>
    <row r="4" spans="1:16" ht="21.75" customHeight="1">
      <c r="A4" s="732" t="s">
        <v>558</v>
      </c>
      <c r="B4" s="732"/>
      <c r="C4" s="732" t="s">
        <v>559</v>
      </c>
      <c r="D4" s="732"/>
      <c r="E4" s="732"/>
      <c r="F4" s="732"/>
      <c r="G4" s="588" t="s">
        <v>239</v>
      </c>
      <c r="H4" s="732" t="s">
        <v>560</v>
      </c>
      <c r="I4" s="732"/>
      <c r="J4" s="732"/>
      <c r="K4" s="732"/>
      <c r="L4" s="732"/>
      <c r="M4" s="732"/>
      <c r="N4" s="732"/>
      <c r="O4" s="732"/>
      <c r="P4" s="588" t="s">
        <v>561</v>
      </c>
    </row>
    <row r="5" spans="1:16" ht="42.75" customHeight="1">
      <c r="A5" s="589" t="s">
        <v>562</v>
      </c>
      <c r="B5" s="589" t="s">
        <v>563</v>
      </c>
      <c r="C5" s="589" t="s">
        <v>564</v>
      </c>
      <c r="D5" s="589" t="s">
        <v>565</v>
      </c>
      <c r="E5" s="589" t="s">
        <v>566</v>
      </c>
      <c r="F5" s="589" t="s">
        <v>567</v>
      </c>
      <c r="G5" s="589" t="s">
        <v>568</v>
      </c>
      <c r="H5" s="589" t="s">
        <v>569</v>
      </c>
      <c r="I5" s="589" t="s">
        <v>570</v>
      </c>
      <c r="J5" s="589" t="s">
        <v>571</v>
      </c>
      <c r="K5" s="589" t="s">
        <v>572</v>
      </c>
      <c r="L5" s="589" t="s">
        <v>573</v>
      </c>
      <c r="M5" s="589" t="s">
        <v>574</v>
      </c>
      <c r="N5" s="589" t="s">
        <v>575</v>
      </c>
      <c r="O5" s="589" t="s">
        <v>576</v>
      </c>
      <c r="P5" s="589" t="s">
        <v>577</v>
      </c>
    </row>
    <row r="6" spans="1:16">
      <c r="A6" s="590">
        <v>1</v>
      </c>
      <c r="B6" s="591" t="s">
        <v>578</v>
      </c>
      <c r="C6" s="592" t="s">
        <v>579</v>
      </c>
      <c r="D6" s="593">
        <v>0</v>
      </c>
      <c r="E6" s="592">
        <v>2</v>
      </c>
      <c r="F6" s="592">
        <v>22</v>
      </c>
      <c r="G6" s="594">
        <v>0</v>
      </c>
      <c r="H6" s="592">
        <v>0</v>
      </c>
      <c r="I6" s="592">
        <v>0</v>
      </c>
      <c r="J6" s="592">
        <v>0</v>
      </c>
      <c r="K6" s="592">
        <v>0</v>
      </c>
      <c r="L6" s="592">
        <v>0</v>
      </c>
      <c r="M6" s="592">
        <v>0</v>
      </c>
      <c r="N6" s="592">
        <v>0</v>
      </c>
      <c r="O6" s="592">
        <v>0</v>
      </c>
      <c r="P6" s="595">
        <f t="shared" ref="P6:P37" si="0">SUM(H6:O6)</f>
        <v>0</v>
      </c>
    </row>
    <row r="7" spans="1:16">
      <c r="A7" s="590">
        <v>2</v>
      </c>
      <c r="B7" s="591" t="s">
        <v>580</v>
      </c>
      <c r="C7" s="592" t="s">
        <v>579</v>
      </c>
      <c r="D7" s="593">
        <v>0</v>
      </c>
      <c r="E7" s="592">
        <v>2</v>
      </c>
      <c r="F7" s="592">
        <v>22</v>
      </c>
      <c r="G7" s="594">
        <v>0</v>
      </c>
      <c r="H7" s="592">
        <v>0</v>
      </c>
      <c r="I7" s="592">
        <v>0</v>
      </c>
      <c r="J7" s="592">
        <v>0</v>
      </c>
      <c r="K7" s="592">
        <v>0</v>
      </c>
      <c r="L7" s="592">
        <v>0</v>
      </c>
      <c r="M7" s="592">
        <v>0</v>
      </c>
      <c r="N7" s="592">
        <v>0</v>
      </c>
      <c r="O7" s="592">
        <v>0</v>
      </c>
      <c r="P7" s="595">
        <f t="shared" si="0"/>
        <v>0</v>
      </c>
    </row>
    <row r="8" spans="1:16">
      <c r="A8" s="590">
        <v>3</v>
      </c>
      <c r="B8" s="591" t="s">
        <v>581</v>
      </c>
      <c r="C8" s="592" t="s">
        <v>579</v>
      </c>
      <c r="D8" s="593">
        <v>0</v>
      </c>
      <c r="E8" s="592">
        <v>2</v>
      </c>
      <c r="F8" s="592">
        <v>22</v>
      </c>
      <c r="G8" s="594">
        <v>0</v>
      </c>
      <c r="H8" s="592">
        <v>1</v>
      </c>
      <c r="I8" s="592">
        <v>2</v>
      </c>
      <c r="J8" s="592">
        <v>0</v>
      </c>
      <c r="K8" s="592">
        <v>0</v>
      </c>
      <c r="L8" s="592">
        <v>0</v>
      </c>
      <c r="M8" s="592">
        <v>0</v>
      </c>
      <c r="N8" s="592">
        <v>0</v>
      </c>
      <c r="O8" s="592">
        <v>0</v>
      </c>
      <c r="P8" s="595">
        <f t="shared" si="0"/>
        <v>3</v>
      </c>
    </row>
    <row r="9" spans="1:16">
      <c r="A9" s="590">
        <v>4</v>
      </c>
      <c r="B9" s="591" t="s">
        <v>582</v>
      </c>
      <c r="C9" s="592" t="s">
        <v>579</v>
      </c>
      <c r="D9" s="593">
        <v>0</v>
      </c>
      <c r="E9" s="592">
        <v>2</v>
      </c>
      <c r="F9" s="592">
        <v>22</v>
      </c>
      <c r="G9" s="594">
        <v>0</v>
      </c>
      <c r="H9" s="592">
        <v>1</v>
      </c>
      <c r="I9" s="592">
        <v>2</v>
      </c>
      <c r="J9" s="592">
        <v>0</v>
      </c>
      <c r="K9" s="592">
        <v>0</v>
      </c>
      <c r="L9" s="592">
        <v>0</v>
      </c>
      <c r="M9" s="592">
        <v>0</v>
      </c>
      <c r="N9" s="592">
        <v>0</v>
      </c>
      <c r="O9" s="592">
        <v>0</v>
      </c>
      <c r="P9" s="595">
        <f t="shared" si="0"/>
        <v>3</v>
      </c>
    </row>
    <row r="10" spans="1:16">
      <c r="A10" s="590">
        <v>5</v>
      </c>
      <c r="B10" s="591" t="s">
        <v>583</v>
      </c>
      <c r="C10" s="592" t="s">
        <v>579</v>
      </c>
      <c r="D10" s="593">
        <v>0</v>
      </c>
      <c r="E10" s="592">
        <v>2</v>
      </c>
      <c r="F10" s="592">
        <v>22</v>
      </c>
      <c r="G10" s="594">
        <v>0</v>
      </c>
      <c r="H10" s="592">
        <v>1</v>
      </c>
      <c r="I10" s="592">
        <v>1</v>
      </c>
      <c r="J10" s="592">
        <v>0</v>
      </c>
      <c r="K10" s="592">
        <v>0</v>
      </c>
      <c r="L10" s="592">
        <v>0</v>
      </c>
      <c r="M10" s="592">
        <v>0</v>
      </c>
      <c r="N10" s="592">
        <v>0</v>
      </c>
      <c r="O10" s="592">
        <v>0</v>
      </c>
      <c r="P10" s="595">
        <f t="shared" si="0"/>
        <v>2</v>
      </c>
    </row>
    <row r="11" spans="1:16">
      <c r="A11" s="590">
        <v>6</v>
      </c>
      <c r="B11" s="591" t="s">
        <v>584</v>
      </c>
      <c r="C11" s="592" t="s">
        <v>579</v>
      </c>
      <c r="D11" s="593">
        <v>0</v>
      </c>
      <c r="E11" s="592">
        <v>2</v>
      </c>
      <c r="F11" s="592">
        <v>22</v>
      </c>
      <c r="G11" s="594">
        <v>0</v>
      </c>
      <c r="H11" s="592">
        <v>0</v>
      </c>
      <c r="I11" s="592">
        <v>0</v>
      </c>
      <c r="J11" s="592">
        <v>0</v>
      </c>
      <c r="K11" s="592">
        <v>0</v>
      </c>
      <c r="L11" s="592">
        <v>0</v>
      </c>
      <c r="M11" s="592">
        <v>0</v>
      </c>
      <c r="N11" s="592">
        <v>0</v>
      </c>
      <c r="O11" s="592">
        <v>0</v>
      </c>
      <c r="P11" s="595">
        <f t="shared" si="0"/>
        <v>0</v>
      </c>
    </row>
    <row r="12" spans="1:16">
      <c r="A12" s="590">
        <v>7</v>
      </c>
      <c r="B12" s="591" t="s">
        <v>585</v>
      </c>
      <c r="C12" s="592" t="s">
        <v>579</v>
      </c>
      <c r="D12" s="593">
        <v>0</v>
      </c>
      <c r="E12" s="592">
        <v>2</v>
      </c>
      <c r="F12" s="592">
        <v>22</v>
      </c>
      <c r="G12" s="594">
        <v>0</v>
      </c>
      <c r="H12" s="592">
        <v>0</v>
      </c>
      <c r="I12" s="592">
        <v>0</v>
      </c>
      <c r="J12" s="592">
        <v>0</v>
      </c>
      <c r="K12" s="592">
        <v>0</v>
      </c>
      <c r="L12" s="592">
        <v>0</v>
      </c>
      <c r="M12" s="592">
        <v>0</v>
      </c>
      <c r="N12" s="592">
        <v>0</v>
      </c>
      <c r="O12" s="592">
        <v>0</v>
      </c>
      <c r="P12" s="595">
        <f t="shared" si="0"/>
        <v>0</v>
      </c>
    </row>
    <row r="13" spans="1:16">
      <c r="A13" s="590">
        <v>8</v>
      </c>
      <c r="B13" s="591" t="s">
        <v>586</v>
      </c>
      <c r="C13" s="592" t="s">
        <v>579</v>
      </c>
      <c r="D13" s="593">
        <v>0</v>
      </c>
      <c r="E13" s="592">
        <v>2</v>
      </c>
      <c r="F13" s="592">
        <v>22</v>
      </c>
      <c r="G13" s="594">
        <v>0</v>
      </c>
      <c r="H13" s="592">
        <v>1</v>
      </c>
      <c r="I13" s="592">
        <v>1</v>
      </c>
      <c r="J13" s="592">
        <v>0</v>
      </c>
      <c r="K13" s="592">
        <v>0</v>
      </c>
      <c r="L13" s="592">
        <v>0</v>
      </c>
      <c r="M13" s="592">
        <v>0</v>
      </c>
      <c r="N13" s="592">
        <v>0</v>
      </c>
      <c r="O13" s="592">
        <v>0</v>
      </c>
      <c r="P13" s="595">
        <f t="shared" si="0"/>
        <v>2</v>
      </c>
    </row>
    <row r="14" spans="1:16">
      <c r="A14" s="590">
        <v>9</v>
      </c>
      <c r="B14" s="591" t="s">
        <v>587</v>
      </c>
      <c r="C14" s="592" t="s">
        <v>579</v>
      </c>
      <c r="D14" s="593">
        <v>0</v>
      </c>
      <c r="E14" s="592">
        <v>2</v>
      </c>
      <c r="F14" s="592">
        <v>22</v>
      </c>
      <c r="G14" s="594">
        <v>0</v>
      </c>
      <c r="H14" s="592">
        <v>1</v>
      </c>
      <c r="I14" s="592">
        <v>1</v>
      </c>
      <c r="J14" s="592">
        <v>0</v>
      </c>
      <c r="K14" s="592">
        <v>0</v>
      </c>
      <c r="L14" s="592">
        <v>0</v>
      </c>
      <c r="M14" s="592">
        <v>0</v>
      </c>
      <c r="N14" s="592">
        <v>0</v>
      </c>
      <c r="O14" s="592">
        <v>0</v>
      </c>
      <c r="P14" s="595">
        <f t="shared" si="0"/>
        <v>2</v>
      </c>
    </row>
    <row r="15" spans="1:16">
      <c r="A15" s="590">
        <v>10</v>
      </c>
      <c r="B15" s="591" t="s">
        <v>588</v>
      </c>
      <c r="C15" s="592" t="s">
        <v>579</v>
      </c>
      <c r="D15" s="593">
        <v>0</v>
      </c>
      <c r="E15" s="592">
        <v>2</v>
      </c>
      <c r="F15" s="592">
        <v>22</v>
      </c>
      <c r="G15" s="594">
        <v>0</v>
      </c>
      <c r="H15" s="592">
        <v>0</v>
      </c>
      <c r="I15" s="592">
        <v>0</v>
      </c>
      <c r="J15" s="592">
        <v>0</v>
      </c>
      <c r="K15" s="592">
        <v>0</v>
      </c>
      <c r="L15" s="592">
        <v>0</v>
      </c>
      <c r="M15" s="592">
        <v>0</v>
      </c>
      <c r="N15" s="592">
        <v>0</v>
      </c>
      <c r="O15" s="592">
        <v>0</v>
      </c>
      <c r="P15" s="595">
        <f t="shared" si="0"/>
        <v>0</v>
      </c>
    </row>
    <row r="16" spans="1:16">
      <c r="A16" s="590">
        <v>11</v>
      </c>
      <c r="B16" s="591" t="s">
        <v>589</v>
      </c>
      <c r="C16" s="592" t="s">
        <v>579</v>
      </c>
      <c r="D16" s="593">
        <v>0</v>
      </c>
      <c r="E16" s="592">
        <v>2</v>
      </c>
      <c r="F16" s="592">
        <v>22</v>
      </c>
      <c r="G16" s="594">
        <v>0</v>
      </c>
      <c r="H16" s="592">
        <v>0</v>
      </c>
      <c r="I16" s="592">
        <v>0</v>
      </c>
      <c r="J16" s="592">
        <v>0</v>
      </c>
      <c r="K16" s="592">
        <v>0</v>
      </c>
      <c r="L16" s="592">
        <v>0</v>
      </c>
      <c r="M16" s="592">
        <v>0</v>
      </c>
      <c r="N16" s="592">
        <v>0</v>
      </c>
      <c r="O16" s="592">
        <v>0</v>
      </c>
      <c r="P16" s="595">
        <f t="shared" si="0"/>
        <v>0</v>
      </c>
    </row>
    <row r="17" spans="1:16">
      <c r="A17" s="590">
        <v>12</v>
      </c>
      <c r="B17" s="591" t="s">
        <v>590</v>
      </c>
      <c r="C17" s="592" t="s">
        <v>579</v>
      </c>
      <c r="D17" s="593">
        <v>0</v>
      </c>
      <c r="E17" s="592">
        <v>2</v>
      </c>
      <c r="F17" s="592">
        <v>22</v>
      </c>
      <c r="G17" s="594">
        <v>0</v>
      </c>
      <c r="H17" s="592">
        <v>1</v>
      </c>
      <c r="I17" s="592">
        <v>2</v>
      </c>
      <c r="J17" s="592">
        <v>0</v>
      </c>
      <c r="K17" s="592">
        <v>0</v>
      </c>
      <c r="L17" s="592">
        <v>0</v>
      </c>
      <c r="M17" s="592">
        <v>0</v>
      </c>
      <c r="N17" s="592">
        <v>0</v>
      </c>
      <c r="O17" s="592">
        <v>0</v>
      </c>
      <c r="P17" s="595">
        <f t="shared" si="0"/>
        <v>3</v>
      </c>
    </row>
    <row r="18" spans="1:16">
      <c r="A18" s="590">
        <v>13</v>
      </c>
      <c r="B18" s="591" t="s">
        <v>591</v>
      </c>
      <c r="C18" s="592" t="s">
        <v>579</v>
      </c>
      <c r="D18" s="593">
        <v>0</v>
      </c>
      <c r="E18" s="592">
        <v>2</v>
      </c>
      <c r="F18" s="592">
        <v>22</v>
      </c>
      <c r="G18" s="594">
        <v>0</v>
      </c>
      <c r="H18" s="592">
        <v>1</v>
      </c>
      <c r="I18" s="592">
        <v>2</v>
      </c>
      <c r="J18" s="592">
        <v>0</v>
      </c>
      <c r="K18" s="592">
        <v>0</v>
      </c>
      <c r="L18" s="592">
        <v>0</v>
      </c>
      <c r="M18" s="592">
        <v>0</v>
      </c>
      <c r="N18" s="592">
        <v>0</v>
      </c>
      <c r="O18" s="592">
        <v>0</v>
      </c>
      <c r="P18" s="595">
        <f t="shared" si="0"/>
        <v>3</v>
      </c>
    </row>
    <row r="19" spans="1:16">
      <c r="A19" s="590">
        <v>14</v>
      </c>
      <c r="B19" s="591" t="s">
        <v>592</v>
      </c>
      <c r="C19" s="592" t="s">
        <v>579</v>
      </c>
      <c r="D19" s="593">
        <v>0</v>
      </c>
      <c r="E19" s="592">
        <v>2</v>
      </c>
      <c r="F19" s="592">
        <v>22</v>
      </c>
      <c r="G19" s="594">
        <v>0</v>
      </c>
      <c r="H19" s="592">
        <v>1</v>
      </c>
      <c r="I19" s="592">
        <v>2</v>
      </c>
      <c r="J19" s="592">
        <v>0</v>
      </c>
      <c r="K19" s="592">
        <v>0</v>
      </c>
      <c r="L19" s="592">
        <v>0</v>
      </c>
      <c r="M19" s="592">
        <v>0</v>
      </c>
      <c r="N19" s="592">
        <v>0</v>
      </c>
      <c r="O19" s="592">
        <v>0</v>
      </c>
      <c r="P19" s="595">
        <f t="shared" si="0"/>
        <v>3</v>
      </c>
    </row>
    <row r="20" spans="1:16">
      <c r="A20" s="590">
        <v>15</v>
      </c>
      <c r="B20" s="591" t="s">
        <v>593</v>
      </c>
      <c r="C20" s="592" t="s">
        <v>579</v>
      </c>
      <c r="D20" s="593">
        <v>0</v>
      </c>
      <c r="E20" s="592">
        <v>2</v>
      </c>
      <c r="F20" s="592">
        <v>22</v>
      </c>
      <c r="G20" s="594">
        <v>0</v>
      </c>
      <c r="H20" s="592">
        <v>0</v>
      </c>
      <c r="I20" s="592">
        <v>0</v>
      </c>
      <c r="J20" s="592">
        <v>0</v>
      </c>
      <c r="K20" s="592">
        <v>0</v>
      </c>
      <c r="L20" s="592">
        <v>0</v>
      </c>
      <c r="M20" s="592">
        <v>0</v>
      </c>
      <c r="N20" s="592">
        <v>0</v>
      </c>
      <c r="O20" s="592">
        <v>0</v>
      </c>
      <c r="P20" s="595">
        <f t="shared" si="0"/>
        <v>0</v>
      </c>
    </row>
    <row r="21" spans="1:16">
      <c r="A21" s="590">
        <v>16</v>
      </c>
      <c r="B21" s="591" t="s">
        <v>594</v>
      </c>
      <c r="C21" s="592" t="s">
        <v>579</v>
      </c>
      <c r="D21" s="593">
        <v>0</v>
      </c>
      <c r="E21" s="592">
        <v>2</v>
      </c>
      <c r="F21" s="592">
        <v>22</v>
      </c>
      <c r="G21" s="594">
        <v>0</v>
      </c>
      <c r="H21" s="592">
        <v>1</v>
      </c>
      <c r="I21" s="592">
        <v>1</v>
      </c>
      <c r="J21" s="592">
        <v>0</v>
      </c>
      <c r="K21" s="592">
        <v>0</v>
      </c>
      <c r="L21" s="592">
        <v>0</v>
      </c>
      <c r="M21" s="592">
        <v>0</v>
      </c>
      <c r="N21" s="592">
        <v>0</v>
      </c>
      <c r="O21" s="592">
        <v>0</v>
      </c>
      <c r="P21" s="595">
        <f t="shared" si="0"/>
        <v>2</v>
      </c>
    </row>
    <row r="22" spans="1:16">
      <c r="A22" s="590">
        <v>17</v>
      </c>
      <c r="B22" s="591" t="s">
        <v>595</v>
      </c>
      <c r="C22" s="592" t="s">
        <v>579</v>
      </c>
      <c r="D22" s="593">
        <v>0</v>
      </c>
      <c r="E22" s="592">
        <v>2</v>
      </c>
      <c r="F22" s="592">
        <v>22</v>
      </c>
      <c r="G22" s="594">
        <v>0</v>
      </c>
      <c r="H22" s="592">
        <v>0</v>
      </c>
      <c r="I22" s="592">
        <v>0</v>
      </c>
      <c r="J22" s="592">
        <v>0</v>
      </c>
      <c r="K22" s="592">
        <v>0</v>
      </c>
      <c r="L22" s="592">
        <v>0</v>
      </c>
      <c r="M22" s="592">
        <v>0</v>
      </c>
      <c r="N22" s="592">
        <v>0</v>
      </c>
      <c r="O22" s="592">
        <v>0</v>
      </c>
      <c r="P22" s="595">
        <f t="shared" si="0"/>
        <v>0</v>
      </c>
    </row>
    <row r="23" spans="1:16">
      <c r="A23" s="590">
        <v>18</v>
      </c>
      <c r="B23" s="591" t="s">
        <v>596</v>
      </c>
      <c r="C23" s="592" t="s">
        <v>579</v>
      </c>
      <c r="D23" s="593">
        <v>0</v>
      </c>
      <c r="E23" s="592">
        <v>2</v>
      </c>
      <c r="F23" s="592">
        <v>22</v>
      </c>
      <c r="G23" s="594">
        <v>0</v>
      </c>
      <c r="H23" s="592">
        <v>0</v>
      </c>
      <c r="I23" s="592">
        <v>0</v>
      </c>
      <c r="J23" s="592">
        <v>0</v>
      </c>
      <c r="K23" s="592">
        <v>0</v>
      </c>
      <c r="L23" s="592">
        <v>0</v>
      </c>
      <c r="M23" s="592">
        <v>0</v>
      </c>
      <c r="N23" s="592">
        <v>0</v>
      </c>
      <c r="O23" s="592">
        <v>0</v>
      </c>
      <c r="P23" s="595">
        <f t="shared" si="0"/>
        <v>0</v>
      </c>
    </row>
    <row r="24" spans="1:16">
      <c r="A24" s="590">
        <v>19</v>
      </c>
      <c r="B24" s="591" t="s">
        <v>597</v>
      </c>
      <c r="C24" s="592" t="s">
        <v>579</v>
      </c>
      <c r="D24" s="593">
        <v>0</v>
      </c>
      <c r="E24" s="592">
        <v>2</v>
      </c>
      <c r="F24" s="592">
        <v>22</v>
      </c>
      <c r="G24" s="594">
        <v>0</v>
      </c>
      <c r="H24" s="592">
        <v>1</v>
      </c>
      <c r="I24" s="592">
        <v>1</v>
      </c>
      <c r="J24" s="592">
        <v>0</v>
      </c>
      <c r="K24" s="592">
        <v>0</v>
      </c>
      <c r="L24" s="592">
        <v>0</v>
      </c>
      <c r="M24" s="592">
        <v>0</v>
      </c>
      <c r="N24" s="592">
        <v>0</v>
      </c>
      <c r="O24" s="592">
        <v>0</v>
      </c>
      <c r="P24" s="595">
        <f t="shared" si="0"/>
        <v>2</v>
      </c>
    </row>
    <row r="25" spans="1:16">
      <c r="A25" s="590">
        <v>20</v>
      </c>
      <c r="B25" s="591" t="s">
        <v>598</v>
      </c>
      <c r="C25" s="592" t="s">
        <v>579</v>
      </c>
      <c r="D25" s="593">
        <v>0</v>
      </c>
      <c r="E25" s="592">
        <v>2</v>
      </c>
      <c r="F25" s="592">
        <v>22</v>
      </c>
      <c r="G25" s="594">
        <v>0</v>
      </c>
      <c r="H25" s="592">
        <v>1</v>
      </c>
      <c r="I25" s="592">
        <v>1</v>
      </c>
      <c r="J25" s="592">
        <v>0</v>
      </c>
      <c r="K25" s="592">
        <v>0</v>
      </c>
      <c r="L25" s="592">
        <v>0</v>
      </c>
      <c r="M25" s="592">
        <v>0</v>
      </c>
      <c r="N25" s="592">
        <v>0</v>
      </c>
      <c r="O25" s="592">
        <v>0</v>
      </c>
      <c r="P25" s="595">
        <f t="shared" si="0"/>
        <v>2</v>
      </c>
    </row>
    <row r="26" spans="1:16">
      <c r="A26" s="590">
        <v>21</v>
      </c>
      <c r="B26" s="591" t="s">
        <v>599</v>
      </c>
      <c r="C26" s="592" t="s">
        <v>579</v>
      </c>
      <c r="D26" s="593">
        <v>0</v>
      </c>
      <c r="E26" s="592">
        <v>2</v>
      </c>
      <c r="F26" s="592">
        <v>22</v>
      </c>
      <c r="G26" s="594">
        <v>0</v>
      </c>
      <c r="H26" s="592">
        <v>0</v>
      </c>
      <c r="I26" s="592">
        <v>0</v>
      </c>
      <c r="J26" s="592">
        <v>0</v>
      </c>
      <c r="K26" s="592">
        <v>0</v>
      </c>
      <c r="L26" s="592">
        <v>0</v>
      </c>
      <c r="M26" s="592">
        <v>0</v>
      </c>
      <c r="N26" s="592">
        <v>0</v>
      </c>
      <c r="O26" s="592">
        <v>0</v>
      </c>
      <c r="P26" s="595">
        <f t="shared" si="0"/>
        <v>0</v>
      </c>
    </row>
    <row r="27" spans="1:16">
      <c r="A27" s="590">
        <v>22</v>
      </c>
      <c r="B27" s="591" t="s">
        <v>600</v>
      </c>
      <c r="C27" s="592" t="s">
        <v>579</v>
      </c>
      <c r="D27" s="593">
        <v>0</v>
      </c>
      <c r="E27" s="592">
        <v>2</v>
      </c>
      <c r="F27" s="592">
        <v>22</v>
      </c>
      <c r="G27" s="594">
        <v>0</v>
      </c>
      <c r="H27" s="592">
        <v>0</v>
      </c>
      <c r="I27" s="592">
        <v>0</v>
      </c>
      <c r="J27" s="592">
        <v>0</v>
      </c>
      <c r="K27" s="592">
        <v>0</v>
      </c>
      <c r="L27" s="592">
        <v>0</v>
      </c>
      <c r="M27" s="592">
        <v>0</v>
      </c>
      <c r="N27" s="592">
        <v>0</v>
      </c>
      <c r="O27" s="592">
        <v>0</v>
      </c>
      <c r="P27" s="595">
        <f t="shared" si="0"/>
        <v>0</v>
      </c>
    </row>
    <row r="28" spans="1:16">
      <c r="A28" s="590">
        <v>23</v>
      </c>
      <c r="B28" s="591" t="s">
        <v>601</v>
      </c>
      <c r="C28" s="592" t="s">
        <v>579</v>
      </c>
      <c r="D28" s="593">
        <v>0</v>
      </c>
      <c r="E28" s="592">
        <v>2</v>
      </c>
      <c r="F28" s="592">
        <v>22</v>
      </c>
      <c r="G28" s="594">
        <v>0</v>
      </c>
      <c r="H28" s="592">
        <v>1</v>
      </c>
      <c r="I28" s="592">
        <v>2</v>
      </c>
      <c r="J28" s="592">
        <v>0</v>
      </c>
      <c r="K28" s="592">
        <v>0</v>
      </c>
      <c r="L28" s="592">
        <v>0</v>
      </c>
      <c r="M28" s="592">
        <v>0</v>
      </c>
      <c r="N28" s="592">
        <v>0</v>
      </c>
      <c r="O28" s="592">
        <v>0</v>
      </c>
      <c r="P28" s="595">
        <f t="shared" si="0"/>
        <v>3</v>
      </c>
    </row>
    <row r="29" spans="1:16">
      <c r="A29" s="590">
        <v>24</v>
      </c>
      <c r="B29" s="591" t="s">
        <v>602</v>
      </c>
      <c r="C29" s="592" t="s">
        <v>579</v>
      </c>
      <c r="D29" s="593">
        <v>0</v>
      </c>
      <c r="E29" s="592">
        <v>2</v>
      </c>
      <c r="F29" s="592">
        <v>22</v>
      </c>
      <c r="G29" s="594">
        <v>0</v>
      </c>
      <c r="H29" s="592">
        <v>0</v>
      </c>
      <c r="I29" s="592">
        <v>0</v>
      </c>
      <c r="J29" s="592">
        <v>0</v>
      </c>
      <c r="K29" s="592">
        <v>0</v>
      </c>
      <c r="L29" s="592">
        <v>0</v>
      </c>
      <c r="M29" s="592">
        <v>0</v>
      </c>
      <c r="N29" s="592">
        <v>0</v>
      </c>
      <c r="O29" s="592">
        <v>0</v>
      </c>
      <c r="P29" s="595">
        <f t="shared" si="0"/>
        <v>0</v>
      </c>
    </row>
    <row r="30" spans="1:16">
      <c r="A30" s="590">
        <v>25</v>
      </c>
      <c r="B30" s="591" t="s">
        <v>603</v>
      </c>
      <c r="C30" s="592" t="s">
        <v>579</v>
      </c>
      <c r="D30" s="593">
        <v>0</v>
      </c>
      <c r="E30" s="592">
        <v>2</v>
      </c>
      <c r="F30" s="592">
        <v>22</v>
      </c>
      <c r="G30" s="594">
        <v>0</v>
      </c>
      <c r="H30" s="592">
        <v>1</v>
      </c>
      <c r="I30" s="592">
        <v>1</v>
      </c>
      <c r="J30" s="592">
        <v>0</v>
      </c>
      <c r="K30" s="592">
        <v>0</v>
      </c>
      <c r="L30" s="592">
        <v>0</v>
      </c>
      <c r="M30" s="592">
        <v>0</v>
      </c>
      <c r="N30" s="592">
        <v>0</v>
      </c>
      <c r="O30" s="592">
        <v>0</v>
      </c>
      <c r="P30" s="595">
        <f t="shared" si="0"/>
        <v>2</v>
      </c>
    </row>
    <row r="31" spans="1:16">
      <c r="A31" s="590">
        <v>26</v>
      </c>
      <c r="B31" s="591" t="s">
        <v>604</v>
      </c>
      <c r="C31" s="592" t="s">
        <v>579</v>
      </c>
      <c r="D31" s="593">
        <v>0</v>
      </c>
      <c r="E31" s="592">
        <v>2</v>
      </c>
      <c r="F31" s="592">
        <v>22</v>
      </c>
      <c r="G31" s="594">
        <v>0</v>
      </c>
      <c r="H31" s="592">
        <v>0</v>
      </c>
      <c r="I31" s="592">
        <v>0</v>
      </c>
      <c r="J31" s="592">
        <v>0</v>
      </c>
      <c r="K31" s="592">
        <v>0</v>
      </c>
      <c r="L31" s="592">
        <v>0</v>
      </c>
      <c r="M31" s="592">
        <v>0</v>
      </c>
      <c r="N31" s="592">
        <v>0</v>
      </c>
      <c r="O31" s="592">
        <v>0</v>
      </c>
      <c r="P31" s="595">
        <f t="shared" si="0"/>
        <v>0</v>
      </c>
    </row>
    <row r="32" spans="1:16">
      <c r="A32" s="590">
        <v>27</v>
      </c>
      <c r="B32" s="591" t="s">
        <v>605</v>
      </c>
      <c r="C32" s="592" t="s">
        <v>579</v>
      </c>
      <c r="D32" s="593">
        <v>0</v>
      </c>
      <c r="E32" s="592">
        <v>2</v>
      </c>
      <c r="F32" s="592">
        <v>22</v>
      </c>
      <c r="G32" s="594">
        <v>0</v>
      </c>
      <c r="H32" s="592">
        <v>1</v>
      </c>
      <c r="I32" s="592">
        <v>2</v>
      </c>
      <c r="J32" s="592">
        <v>0</v>
      </c>
      <c r="K32" s="592">
        <v>0</v>
      </c>
      <c r="L32" s="592">
        <v>0</v>
      </c>
      <c r="M32" s="592">
        <v>0</v>
      </c>
      <c r="N32" s="592">
        <v>0</v>
      </c>
      <c r="O32" s="592">
        <v>0</v>
      </c>
      <c r="P32" s="595">
        <f t="shared" si="0"/>
        <v>3</v>
      </c>
    </row>
    <row r="33" spans="1:16">
      <c r="A33" s="590">
        <v>28</v>
      </c>
      <c r="B33" s="591" t="s">
        <v>606</v>
      </c>
      <c r="C33" s="592" t="s">
        <v>579</v>
      </c>
      <c r="D33" s="593">
        <v>0</v>
      </c>
      <c r="E33" s="592">
        <v>2</v>
      </c>
      <c r="F33" s="592">
        <v>22</v>
      </c>
      <c r="G33" s="594">
        <v>0</v>
      </c>
      <c r="H33" s="592">
        <v>1</v>
      </c>
      <c r="I33" s="592">
        <v>2</v>
      </c>
      <c r="J33" s="592">
        <v>0</v>
      </c>
      <c r="K33" s="592">
        <v>0</v>
      </c>
      <c r="L33" s="592">
        <v>0</v>
      </c>
      <c r="M33" s="592">
        <v>0</v>
      </c>
      <c r="N33" s="592">
        <v>0</v>
      </c>
      <c r="O33" s="592">
        <v>0</v>
      </c>
      <c r="P33" s="595">
        <f t="shared" si="0"/>
        <v>3</v>
      </c>
    </row>
    <row r="34" spans="1:16">
      <c r="A34" s="590">
        <v>29</v>
      </c>
      <c r="B34" s="591" t="s">
        <v>607</v>
      </c>
      <c r="C34" s="592" t="s">
        <v>579</v>
      </c>
      <c r="D34" s="593">
        <v>0</v>
      </c>
      <c r="E34" s="592">
        <v>2</v>
      </c>
      <c r="F34" s="592">
        <v>22</v>
      </c>
      <c r="G34" s="594">
        <v>0</v>
      </c>
      <c r="H34" s="592">
        <v>1</v>
      </c>
      <c r="I34" s="592">
        <v>1</v>
      </c>
      <c r="J34" s="592">
        <v>0</v>
      </c>
      <c r="K34" s="592">
        <v>0</v>
      </c>
      <c r="L34" s="592">
        <v>0</v>
      </c>
      <c r="M34" s="592">
        <v>0</v>
      </c>
      <c r="N34" s="592">
        <v>0</v>
      </c>
      <c r="O34" s="592">
        <v>0</v>
      </c>
      <c r="P34" s="595">
        <f t="shared" si="0"/>
        <v>2</v>
      </c>
    </row>
    <row r="35" spans="1:16">
      <c r="A35" s="590">
        <v>30</v>
      </c>
      <c r="B35" s="591" t="s">
        <v>608</v>
      </c>
      <c r="C35" s="592" t="s">
        <v>579</v>
      </c>
      <c r="D35" s="593">
        <v>0</v>
      </c>
      <c r="E35" s="592">
        <v>2</v>
      </c>
      <c r="F35" s="592">
        <v>22</v>
      </c>
      <c r="G35" s="594">
        <v>0</v>
      </c>
      <c r="H35" s="592">
        <v>1</v>
      </c>
      <c r="I35" s="592">
        <v>2</v>
      </c>
      <c r="J35" s="592">
        <v>0</v>
      </c>
      <c r="K35" s="592">
        <v>0</v>
      </c>
      <c r="L35" s="592">
        <v>0</v>
      </c>
      <c r="M35" s="592">
        <v>0</v>
      </c>
      <c r="N35" s="592">
        <v>0</v>
      </c>
      <c r="O35" s="592">
        <v>0</v>
      </c>
      <c r="P35" s="595">
        <f t="shared" si="0"/>
        <v>3</v>
      </c>
    </row>
    <row r="36" spans="1:16">
      <c r="A36" s="590">
        <v>31</v>
      </c>
      <c r="B36" s="591" t="s">
        <v>609</v>
      </c>
      <c r="C36" s="592" t="s">
        <v>579</v>
      </c>
      <c r="D36" s="593">
        <v>0</v>
      </c>
      <c r="E36" s="592">
        <v>2</v>
      </c>
      <c r="F36" s="592">
        <v>22</v>
      </c>
      <c r="G36" s="594">
        <v>0</v>
      </c>
      <c r="H36" s="592">
        <v>1</v>
      </c>
      <c r="I36" s="592">
        <v>2</v>
      </c>
      <c r="J36" s="592">
        <v>0</v>
      </c>
      <c r="K36" s="592">
        <v>0</v>
      </c>
      <c r="L36" s="592">
        <v>0</v>
      </c>
      <c r="M36" s="592">
        <v>0</v>
      </c>
      <c r="N36" s="592">
        <v>0</v>
      </c>
      <c r="O36" s="592">
        <v>0</v>
      </c>
      <c r="P36" s="595">
        <f t="shared" si="0"/>
        <v>3</v>
      </c>
    </row>
    <row r="37" spans="1:16">
      <c r="A37" s="590">
        <v>32</v>
      </c>
      <c r="B37" s="591" t="s">
        <v>610</v>
      </c>
      <c r="C37" s="592" t="s">
        <v>579</v>
      </c>
      <c r="D37" s="593">
        <v>0</v>
      </c>
      <c r="E37" s="592">
        <v>2</v>
      </c>
      <c r="F37" s="592">
        <v>22</v>
      </c>
      <c r="G37" s="594">
        <v>0</v>
      </c>
      <c r="H37" s="592">
        <v>1</v>
      </c>
      <c r="I37" s="592">
        <v>2</v>
      </c>
      <c r="J37" s="592">
        <v>0</v>
      </c>
      <c r="K37" s="592">
        <v>0</v>
      </c>
      <c r="L37" s="592">
        <v>0</v>
      </c>
      <c r="M37" s="592">
        <v>0</v>
      </c>
      <c r="N37" s="592">
        <v>0</v>
      </c>
      <c r="O37" s="592">
        <v>0</v>
      </c>
      <c r="P37" s="595">
        <f t="shared" si="0"/>
        <v>3</v>
      </c>
    </row>
    <row r="38" spans="1:16">
      <c r="A38" s="590">
        <v>33</v>
      </c>
      <c r="B38" s="591" t="s">
        <v>611</v>
      </c>
      <c r="C38" s="592" t="s">
        <v>579</v>
      </c>
      <c r="D38" s="593">
        <v>0</v>
      </c>
      <c r="E38" s="592">
        <v>2</v>
      </c>
      <c r="F38" s="592">
        <v>22</v>
      </c>
      <c r="G38" s="594">
        <v>0</v>
      </c>
      <c r="H38" s="592">
        <v>1</v>
      </c>
      <c r="I38" s="592">
        <v>1</v>
      </c>
      <c r="J38" s="592">
        <v>0</v>
      </c>
      <c r="K38" s="592">
        <v>0</v>
      </c>
      <c r="L38" s="592">
        <v>0</v>
      </c>
      <c r="M38" s="592">
        <v>0</v>
      </c>
      <c r="N38" s="592">
        <v>0</v>
      </c>
      <c r="O38" s="592">
        <v>0</v>
      </c>
      <c r="P38" s="595">
        <f t="shared" ref="P38:P69" si="1">SUM(H38:O38)</f>
        <v>2</v>
      </c>
    </row>
    <row r="39" spans="1:16">
      <c r="A39" s="590">
        <v>34</v>
      </c>
      <c r="B39" s="591" t="s">
        <v>612</v>
      </c>
      <c r="C39" s="592" t="s">
        <v>579</v>
      </c>
      <c r="D39" s="593">
        <v>0</v>
      </c>
      <c r="E39" s="592">
        <v>2</v>
      </c>
      <c r="F39" s="592">
        <v>22</v>
      </c>
      <c r="G39" s="594">
        <v>0</v>
      </c>
      <c r="H39" s="592">
        <v>1</v>
      </c>
      <c r="I39" s="592">
        <v>2</v>
      </c>
      <c r="J39" s="592">
        <v>0</v>
      </c>
      <c r="K39" s="592">
        <v>0</v>
      </c>
      <c r="L39" s="592">
        <v>0</v>
      </c>
      <c r="M39" s="592">
        <v>0</v>
      </c>
      <c r="N39" s="592">
        <v>0</v>
      </c>
      <c r="O39" s="592">
        <v>0</v>
      </c>
      <c r="P39" s="595">
        <f t="shared" si="1"/>
        <v>3</v>
      </c>
    </row>
    <row r="40" spans="1:16">
      <c r="A40" s="590">
        <v>35</v>
      </c>
      <c r="B40" s="591" t="s">
        <v>613</v>
      </c>
      <c r="C40" s="592" t="s">
        <v>579</v>
      </c>
      <c r="D40" s="593">
        <v>0</v>
      </c>
      <c r="E40" s="592">
        <v>2</v>
      </c>
      <c r="F40" s="592">
        <v>22</v>
      </c>
      <c r="G40" s="594">
        <v>0</v>
      </c>
      <c r="H40" s="592">
        <v>1</v>
      </c>
      <c r="I40" s="592">
        <v>1</v>
      </c>
      <c r="J40" s="592">
        <v>0</v>
      </c>
      <c r="K40" s="592">
        <v>0</v>
      </c>
      <c r="L40" s="592">
        <v>0</v>
      </c>
      <c r="M40" s="592">
        <v>0</v>
      </c>
      <c r="N40" s="592">
        <v>0</v>
      </c>
      <c r="O40" s="592">
        <v>0</v>
      </c>
      <c r="P40" s="595">
        <f t="shared" si="1"/>
        <v>2</v>
      </c>
    </row>
    <row r="41" spans="1:16">
      <c r="A41" s="590">
        <v>36</v>
      </c>
      <c r="B41" s="591" t="s">
        <v>614</v>
      </c>
      <c r="C41" s="592" t="s">
        <v>579</v>
      </c>
      <c r="D41" s="593">
        <v>0</v>
      </c>
      <c r="E41" s="592">
        <v>2</v>
      </c>
      <c r="F41" s="592">
        <v>22</v>
      </c>
      <c r="G41" s="594">
        <v>0</v>
      </c>
      <c r="H41" s="592">
        <v>1</v>
      </c>
      <c r="I41" s="592">
        <v>1</v>
      </c>
      <c r="J41" s="592">
        <v>0</v>
      </c>
      <c r="K41" s="592">
        <v>0</v>
      </c>
      <c r="L41" s="592">
        <v>0</v>
      </c>
      <c r="M41" s="592">
        <v>0</v>
      </c>
      <c r="N41" s="592">
        <v>0</v>
      </c>
      <c r="O41" s="592">
        <v>0</v>
      </c>
      <c r="P41" s="595">
        <f t="shared" si="1"/>
        <v>2</v>
      </c>
    </row>
    <row r="42" spans="1:16">
      <c r="A42" s="590">
        <v>37</v>
      </c>
      <c r="B42" s="591" t="s">
        <v>615</v>
      </c>
      <c r="C42" s="592" t="s">
        <v>579</v>
      </c>
      <c r="D42" s="593">
        <v>0</v>
      </c>
      <c r="E42" s="592">
        <v>2</v>
      </c>
      <c r="F42" s="592">
        <v>22</v>
      </c>
      <c r="G42" s="594">
        <v>0</v>
      </c>
      <c r="H42" s="592">
        <v>1</v>
      </c>
      <c r="I42" s="592">
        <v>1</v>
      </c>
      <c r="J42" s="592">
        <v>0</v>
      </c>
      <c r="K42" s="592">
        <v>0</v>
      </c>
      <c r="L42" s="592">
        <v>0</v>
      </c>
      <c r="M42" s="592">
        <v>0</v>
      </c>
      <c r="N42" s="592">
        <v>0</v>
      </c>
      <c r="O42" s="592">
        <v>0</v>
      </c>
      <c r="P42" s="595">
        <f t="shared" si="1"/>
        <v>2</v>
      </c>
    </row>
    <row r="43" spans="1:16">
      <c r="A43" s="590">
        <v>38</v>
      </c>
      <c r="B43" s="591" t="s">
        <v>616</v>
      </c>
      <c r="C43" s="592" t="s">
        <v>579</v>
      </c>
      <c r="D43" s="593">
        <v>0</v>
      </c>
      <c r="E43" s="592">
        <v>2</v>
      </c>
      <c r="F43" s="592">
        <v>22</v>
      </c>
      <c r="G43" s="594">
        <v>0</v>
      </c>
      <c r="H43" s="592">
        <v>1</v>
      </c>
      <c r="I43" s="592">
        <v>1</v>
      </c>
      <c r="J43" s="592">
        <v>0</v>
      </c>
      <c r="K43" s="592">
        <v>0</v>
      </c>
      <c r="L43" s="592">
        <v>0</v>
      </c>
      <c r="M43" s="592">
        <v>0</v>
      </c>
      <c r="N43" s="592">
        <v>0</v>
      </c>
      <c r="O43" s="592">
        <v>0</v>
      </c>
      <c r="P43" s="595">
        <f t="shared" si="1"/>
        <v>2</v>
      </c>
    </row>
    <row r="44" spans="1:16">
      <c r="A44" s="590">
        <v>39</v>
      </c>
      <c r="B44" s="591" t="s">
        <v>617</v>
      </c>
      <c r="C44" s="592" t="s">
        <v>579</v>
      </c>
      <c r="D44" s="593">
        <v>0</v>
      </c>
      <c r="E44" s="592">
        <v>2</v>
      </c>
      <c r="F44" s="592">
        <v>22</v>
      </c>
      <c r="G44" s="594">
        <v>0</v>
      </c>
      <c r="H44" s="592">
        <v>0</v>
      </c>
      <c r="I44" s="592">
        <v>0</v>
      </c>
      <c r="J44" s="592">
        <v>0</v>
      </c>
      <c r="K44" s="592">
        <v>0</v>
      </c>
      <c r="L44" s="592">
        <v>0</v>
      </c>
      <c r="M44" s="592">
        <v>0</v>
      </c>
      <c r="N44" s="592">
        <v>0</v>
      </c>
      <c r="O44" s="592">
        <v>0</v>
      </c>
      <c r="P44" s="595">
        <f t="shared" si="1"/>
        <v>0</v>
      </c>
    </row>
    <row r="45" spans="1:16">
      <c r="A45" s="590">
        <v>40</v>
      </c>
      <c r="B45" s="591" t="s">
        <v>618</v>
      </c>
      <c r="C45" s="592" t="s">
        <v>579</v>
      </c>
      <c r="D45" s="593">
        <v>0</v>
      </c>
      <c r="E45" s="592">
        <v>2</v>
      </c>
      <c r="F45" s="592">
        <v>22</v>
      </c>
      <c r="G45" s="594">
        <v>0</v>
      </c>
      <c r="H45" s="592">
        <v>0</v>
      </c>
      <c r="I45" s="592">
        <v>0</v>
      </c>
      <c r="J45" s="592">
        <v>0</v>
      </c>
      <c r="K45" s="592">
        <v>0</v>
      </c>
      <c r="L45" s="592">
        <v>0</v>
      </c>
      <c r="M45" s="592">
        <v>0</v>
      </c>
      <c r="N45" s="592">
        <v>0</v>
      </c>
      <c r="O45" s="592">
        <v>0</v>
      </c>
      <c r="P45" s="595">
        <f t="shared" si="1"/>
        <v>0</v>
      </c>
    </row>
    <row r="46" spans="1:16">
      <c r="A46" s="590">
        <v>41</v>
      </c>
      <c r="B46" s="591" t="s">
        <v>619</v>
      </c>
      <c r="C46" s="592" t="s">
        <v>579</v>
      </c>
      <c r="D46" s="593">
        <v>0</v>
      </c>
      <c r="E46" s="592">
        <v>2</v>
      </c>
      <c r="F46" s="592">
        <v>22</v>
      </c>
      <c r="G46" s="594">
        <v>0</v>
      </c>
      <c r="H46" s="592">
        <v>1</v>
      </c>
      <c r="I46" s="592">
        <v>2</v>
      </c>
      <c r="J46" s="592">
        <v>0</v>
      </c>
      <c r="K46" s="592">
        <v>0</v>
      </c>
      <c r="L46" s="592">
        <v>0</v>
      </c>
      <c r="M46" s="592">
        <v>0</v>
      </c>
      <c r="N46" s="592">
        <v>0</v>
      </c>
      <c r="O46" s="592">
        <v>0</v>
      </c>
      <c r="P46" s="595">
        <f t="shared" si="1"/>
        <v>3</v>
      </c>
    </row>
    <row r="47" spans="1:16">
      <c r="A47" s="590">
        <v>42</v>
      </c>
      <c r="B47" s="591" t="s">
        <v>620</v>
      </c>
      <c r="C47" s="592" t="s">
        <v>579</v>
      </c>
      <c r="D47" s="593">
        <v>0</v>
      </c>
      <c r="E47" s="592">
        <v>2</v>
      </c>
      <c r="F47" s="592">
        <v>22</v>
      </c>
      <c r="G47" s="594">
        <v>0</v>
      </c>
      <c r="H47" s="592">
        <v>0</v>
      </c>
      <c r="I47" s="592">
        <v>0</v>
      </c>
      <c r="J47" s="592">
        <v>0</v>
      </c>
      <c r="K47" s="592">
        <v>0</v>
      </c>
      <c r="L47" s="592">
        <v>0</v>
      </c>
      <c r="M47" s="592">
        <v>0</v>
      </c>
      <c r="N47" s="592">
        <v>0</v>
      </c>
      <c r="O47" s="592">
        <v>0</v>
      </c>
      <c r="P47" s="595">
        <f t="shared" si="1"/>
        <v>0</v>
      </c>
    </row>
    <row r="48" spans="1:16">
      <c r="A48" s="590">
        <v>43</v>
      </c>
      <c r="B48" s="591" t="s">
        <v>621</v>
      </c>
      <c r="C48" s="592" t="s">
        <v>579</v>
      </c>
      <c r="D48" s="593">
        <v>0</v>
      </c>
      <c r="E48" s="592">
        <v>2</v>
      </c>
      <c r="F48" s="592">
        <v>22</v>
      </c>
      <c r="G48" s="594">
        <v>0</v>
      </c>
      <c r="H48" s="592">
        <v>0</v>
      </c>
      <c r="I48" s="592">
        <v>0</v>
      </c>
      <c r="J48" s="592">
        <v>0</v>
      </c>
      <c r="K48" s="592">
        <v>0</v>
      </c>
      <c r="L48" s="592">
        <v>0</v>
      </c>
      <c r="M48" s="592">
        <v>0</v>
      </c>
      <c r="N48" s="592">
        <v>0</v>
      </c>
      <c r="O48" s="592">
        <v>0</v>
      </c>
      <c r="P48" s="595">
        <f t="shared" si="1"/>
        <v>0</v>
      </c>
    </row>
    <row r="49" spans="1:16">
      <c r="A49" s="590">
        <v>44</v>
      </c>
      <c r="B49" s="591" t="s">
        <v>622</v>
      </c>
      <c r="C49" s="592" t="s">
        <v>579</v>
      </c>
      <c r="D49" s="593">
        <v>0</v>
      </c>
      <c r="E49" s="592">
        <v>2</v>
      </c>
      <c r="F49" s="592">
        <v>22</v>
      </c>
      <c r="G49" s="594">
        <v>0</v>
      </c>
      <c r="H49" s="592">
        <v>5</v>
      </c>
      <c r="I49" s="592">
        <v>8</v>
      </c>
      <c r="J49" s="592">
        <v>1</v>
      </c>
      <c r="K49" s="592">
        <v>2</v>
      </c>
      <c r="L49" s="592">
        <v>1</v>
      </c>
      <c r="M49" s="592">
        <v>0</v>
      </c>
      <c r="N49" s="592">
        <v>1</v>
      </c>
      <c r="O49" s="592">
        <v>0</v>
      </c>
      <c r="P49" s="595">
        <f t="shared" si="1"/>
        <v>18</v>
      </c>
    </row>
    <row r="50" spans="1:16">
      <c r="A50" s="590">
        <v>45</v>
      </c>
      <c r="B50" s="591" t="s">
        <v>623</v>
      </c>
      <c r="C50" s="592" t="s">
        <v>579</v>
      </c>
      <c r="D50" s="593">
        <v>0</v>
      </c>
      <c r="E50" s="592">
        <v>2</v>
      </c>
      <c r="F50" s="592">
        <v>22</v>
      </c>
      <c r="G50" s="594">
        <v>0</v>
      </c>
      <c r="H50" s="592">
        <v>1</v>
      </c>
      <c r="I50" s="592">
        <v>2</v>
      </c>
      <c r="J50" s="592">
        <v>0</v>
      </c>
      <c r="K50" s="592">
        <v>0</v>
      </c>
      <c r="L50" s="592">
        <v>0</v>
      </c>
      <c r="M50" s="592">
        <v>0</v>
      </c>
      <c r="N50" s="592">
        <v>0</v>
      </c>
      <c r="O50" s="592">
        <v>0</v>
      </c>
      <c r="P50" s="595">
        <f t="shared" si="1"/>
        <v>3</v>
      </c>
    </row>
    <row r="51" spans="1:16">
      <c r="A51" s="590">
        <v>46</v>
      </c>
      <c r="B51" s="591" t="s">
        <v>624</v>
      </c>
      <c r="C51" s="592" t="s">
        <v>579</v>
      </c>
      <c r="D51" s="593">
        <v>0</v>
      </c>
      <c r="E51" s="592">
        <v>2</v>
      </c>
      <c r="F51" s="592">
        <v>22</v>
      </c>
      <c r="G51" s="594">
        <v>0</v>
      </c>
      <c r="H51" s="592">
        <v>1</v>
      </c>
      <c r="I51" s="592">
        <v>1</v>
      </c>
      <c r="J51" s="592">
        <v>0</v>
      </c>
      <c r="K51" s="592">
        <v>0</v>
      </c>
      <c r="L51" s="592">
        <v>0</v>
      </c>
      <c r="M51" s="592">
        <v>0</v>
      </c>
      <c r="N51" s="592">
        <v>0</v>
      </c>
      <c r="O51" s="592">
        <v>0</v>
      </c>
      <c r="P51" s="595">
        <f t="shared" si="1"/>
        <v>2</v>
      </c>
    </row>
    <row r="52" spans="1:16">
      <c r="A52" s="590">
        <v>47</v>
      </c>
      <c r="B52" s="591" t="s">
        <v>625</v>
      </c>
      <c r="C52" s="592" t="s">
        <v>579</v>
      </c>
      <c r="D52" s="593">
        <v>0</v>
      </c>
      <c r="E52" s="592">
        <v>2</v>
      </c>
      <c r="F52" s="592">
        <v>22</v>
      </c>
      <c r="G52" s="594">
        <v>0</v>
      </c>
      <c r="H52" s="592">
        <v>0</v>
      </c>
      <c r="I52" s="592">
        <v>0</v>
      </c>
      <c r="J52" s="592">
        <v>0</v>
      </c>
      <c r="K52" s="592">
        <v>0</v>
      </c>
      <c r="L52" s="592">
        <v>0</v>
      </c>
      <c r="M52" s="592">
        <v>0</v>
      </c>
      <c r="N52" s="592">
        <v>0</v>
      </c>
      <c r="O52" s="592">
        <v>0</v>
      </c>
      <c r="P52" s="595">
        <f t="shared" si="1"/>
        <v>0</v>
      </c>
    </row>
    <row r="53" spans="1:16">
      <c r="A53" s="590">
        <v>48</v>
      </c>
      <c r="B53" s="591" t="s">
        <v>626</v>
      </c>
      <c r="C53" s="592" t="s">
        <v>579</v>
      </c>
      <c r="D53" s="593">
        <v>0</v>
      </c>
      <c r="E53" s="592">
        <v>2</v>
      </c>
      <c r="F53" s="592">
        <v>22</v>
      </c>
      <c r="G53" s="594">
        <v>0</v>
      </c>
      <c r="H53" s="592">
        <v>0</v>
      </c>
      <c r="I53" s="592">
        <v>0</v>
      </c>
      <c r="J53" s="592">
        <v>0</v>
      </c>
      <c r="K53" s="592">
        <v>0</v>
      </c>
      <c r="L53" s="592">
        <v>0</v>
      </c>
      <c r="M53" s="592">
        <v>0</v>
      </c>
      <c r="N53" s="592">
        <v>0</v>
      </c>
      <c r="O53" s="592">
        <v>0</v>
      </c>
      <c r="P53" s="595">
        <f t="shared" si="1"/>
        <v>0</v>
      </c>
    </row>
    <row r="54" spans="1:16">
      <c r="A54" s="590">
        <v>49</v>
      </c>
      <c r="B54" s="591" t="s">
        <v>627</v>
      </c>
      <c r="C54" s="592" t="s">
        <v>579</v>
      </c>
      <c r="D54" s="593">
        <v>0</v>
      </c>
      <c r="E54" s="592">
        <v>2</v>
      </c>
      <c r="F54" s="592">
        <v>22</v>
      </c>
      <c r="G54" s="594">
        <v>0</v>
      </c>
      <c r="H54" s="592">
        <v>1</v>
      </c>
      <c r="I54" s="592">
        <v>1</v>
      </c>
      <c r="J54" s="592">
        <v>0</v>
      </c>
      <c r="K54" s="592">
        <v>0</v>
      </c>
      <c r="L54" s="592">
        <v>0</v>
      </c>
      <c r="M54" s="592">
        <v>0</v>
      </c>
      <c r="N54" s="592">
        <v>0</v>
      </c>
      <c r="O54" s="592">
        <v>0</v>
      </c>
      <c r="P54" s="595">
        <f t="shared" si="1"/>
        <v>2</v>
      </c>
    </row>
    <row r="55" spans="1:16">
      <c r="A55" s="590">
        <v>50</v>
      </c>
      <c r="B55" s="591" t="s">
        <v>628</v>
      </c>
      <c r="C55" s="592" t="s">
        <v>579</v>
      </c>
      <c r="D55" s="593">
        <v>0</v>
      </c>
      <c r="E55" s="592">
        <v>2</v>
      </c>
      <c r="F55" s="592">
        <v>22</v>
      </c>
      <c r="G55" s="594">
        <v>0</v>
      </c>
      <c r="H55" s="592">
        <v>4</v>
      </c>
      <c r="I55" s="592">
        <v>3</v>
      </c>
      <c r="J55" s="592">
        <v>0</v>
      </c>
      <c r="K55" s="592">
        <v>0</v>
      </c>
      <c r="L55" s="592">
        <v>0</v>
      </c>
      <c r="M55" s="592">
        <v>0</v>
      </c>
      <c r="N55" s="592">
        <v>0</v>
      </c>
      <c r="O55" s="592">
        <v>0</v>
      </c>
      <c r="P55" s="595">
        <f t="shared" si="1"/>
        <v>7</v>
      </c>
    </row>
    <row r="56" spans="1:16">
      <c r="A56" s="590">
        <v>51</v>
      </c>
      <c r="B56" s="591" t="s">
        <v>629</v>
      </c>
      <c r="C56" s="592" t="s">
        <v>579</v>
      </c>
      <c r="D56" s="593">
        <v>0</v>
      </c>
      <c r="E56" s="592">
        <v>2</v>
      </c>
      <c r="F56" s="592">
        <v>22</v>
      </c>
      <c r="G56" s="594">
        <v>0</v>
      </c>
      <c r="H56" s="592">
        <v>2</v>
      </c>
      <c r="I56" s="592">
        <v>5</v>
      </c>
      <c r="J56" s="592">
        <v>0</v>
      </c>
      <c r="K56" s="592">
        <v>0</v>
      </c>
      <c r="L56" s="592">
        <v>0</v>
      </c>
      <c r="M56" s="592">
        <v>0</v>
      </c>
      <c r="N56" s="592">
        <v>0</v>
      </c>
      <c r="O56" s="592">
        <v>0</v>
      </c>
      <c r="P56" s="595">
        <f t="shared" si="1"/>
        <v>7</v>
      </c>
    </row>
    <row r="57" spans="1:16">
      <c r="A57" s="590">
        <v>52</v>
      </c>
      <c r="B57" s="591" t="s">
        <v>630</v>
      </c>
      <c r="C57" s="592" t="s">
        <v>579</v>
      </c>
      <c r="D57" s="593">
        <v>0</v>
      </c>
      <c r="E57" s="592">
        <v>2</v>
      </c>
      <c r="F57" s="592">
        <v>22</v>
      </c>
      <c r="G57" s="594">
        <v>0</v>
      </c>
      <c r="H57" s="592">
        <v>0</v>
      </c>
      <c r="I57" s="592">
        <v>0</v>
      </c>
      <c r="J57" s="592">
        <v>0</v>
      </c>
      <c r="K57" s="592">
        <v>0</v>
      </c>
      <c r="L57" s="592">
        <v>0</v>
      </c>
      <c r="M57" s="592">
        <v>0</v>
      </c>
      <c r="N57" s="592">
        <v>0</v>
      </c>
      <c r="O57" s="592">
        <v>0</v>
      </c>
      <c r="P57" s="595">
        <f t="shared" si="1"/>
        <v>0</v>
      </c>
    </row>
    <row r="58" spans="1:16">
      <c r="A58" s="590">
        <v>53</v>
      </c>
      <c r="B58" s="591" t="s">
        <v>631</v>
      </c>
      <c r="C58" s="592" t="s">
        <v>579</v>
      </c>
      <c r="D58" s="593">
        <v>0</v>
      </c>
      <c r="E58" s="592">
        <v>2</v>
      </c>
      <c r="F58" s="592">
        <v>22</v>
      </c>
      <c r="G58" s="594">
        <v>0</v>
      </c>
      <c r="H58" s="592">
        <v>0</v>
      </c>
      <c r="I58" s="592">
        <v>0</v>
      </c>
      <c r="J58" s="592">
        <v>0</v>
      </c>
      <c r="K58" s="592">
        <v>0</v>
      </c>
      <c r="L58" s="592">
        <v>0</v>
      </c>
      <c r="M58" s="592">
        <v>0</v>
      </c>
      <c r="N58" s="592">
        <v>0</v>
      </c>
      <c r="O58" s="592">
        <v>0</v>
      </c>
      <c r="P58" s="595">
        <f t="shared" si="1"/>
        <v>0</v>
      </c>
    </row>
    <row r="59" spans="1:16">
      <c r="A59" s="590">
        <v>54</v>
      </c>
      <c r="B59" s="591" t="s">
        <v>632</v>
      </c>
      <c r="C59" s="592" t="s">
        <v>579</v>
      </c>
      <c r="D59" s="593">
        <v>0</v>
      </c>
      <c r="E59" s="592">
        <v>2</v>
      </c>
      <c r="F59" s="592">
        <v>22</v>
      </c>
      <c r="G59" s="594">
        <v>0</v>
      </c>
      <c r="H59" s="592">
        <v>0</v>
      </c>
      <c r="I59" s="592">
        <v>0</v>
      </c>
      <c r="J59" s="592">
        <v>0</v>
      </c>
      <c r="K59" s="592">
        <v>0</v>
      </c>
      <c r="L59" s="592">
        <v>0</v>
      </c>
      <c r="M59" s="592">
        <v>0</v>
      </c>
      <c r="N59" s="592">
        <v>0</v>
      </c>
      <c r="O59" s="592">
        <v>0</v>
      </c>
      <c r="P59" s="595">
        <f t="shared" si="1"/>
        <v>0</v>
      </c>
    </row>
    <row r="60" spans="1:16">
      <c r="A60" s="590">
        <v>55</v>
      </c>
      <c r="B60" s="591" t="s">
        <v>633</v>
      </c>
      <c r="C60" s="592" t="s">
        <v>579</v>
      </c>
      <c r="D60" s="593">
        <v>0</v>
      </c>
      <c r="E60" s="592">
        <v>2</v>
      </c>
      <c r="F60" s="592">
        <v>22</v>
      </c>
      <c r="G60" s="594">
        <v>0</v>
      </c>
      <c r="H60" s="592">
        <v>0</v>
      </c>
      <c r="I60" s="592">
        <v>0</v>
      </c>
      <c r="J60" s="592">
        <v>0</v>
      </c>
      <c r="K60" s="592">
        <v>0</v>
      </c>
      <c r="L60" s="592">
        <v>0</v>
      </c>
      <c r="M60" s="592">
        <v>0</v>
      </c>
      <c r="N60" s="592">
        <v>0</v>
      </c>
      <c r="O60" s="592">
        <v>0</v>
      </c>
      <c r="P60" s="595">
        <f t="shared" si="1"/>
        <v>0</v>
      </c>
    </row>
    <row r="61" spans="1:16">
      <c r="A61" s="590">
        <v>56</v>
      </c>
      <c r="B61" s="591" t="s">
        <v>634</v>
      </c>
      <c r="C61" s="592" t="s">
        <v>579</v>
      </c>
      <c r="D61" s="593">
        <v>0</v>
      </c>
      <c r="E61" s="592">
        <v>2</v>
      </c>
      <c r="F61" s="592">
        <v>22</v>
      </c>
      <c r="G61" s="594">
        <v>0</v>
      </c>
      <c r="H61" s="592">
        <v>1</v>
      </c>
      <c r="I61" s="592">
        <v>2</v>
      </c>
      <c r="J61" s="592">
        <v>0</v>
      </c>
      <c r="K61" s="592">
        <v>0</v>
      </c>
      <c r="L61" s="592">
        <v>0</v>
      </c>
      <c r="M61" s="592">
        <v>0</v>
      </c>
      <c r="N61" s="592">
        <v>0</v>
      </c>
      <c r="O61" s="592">
        <v>0</v>
      </c>
      <c r="P61" s="595">
        <f t="shared" si="1"/>
        <v>3</v>
      </c>
    </row>
    <row r="62" spans="1:16">
      <c r="A62" s="590">
        <v>57</v>
      </c>
      <c r="B62" s="591" t="s">
        <v>635</v>
      </c>
      <c r="C62" s="592" t="s">
        <v>579</v>
      </c>
      <c r="D62" s="593">
        <v>0</v>
      </c>
      <c r="E62" s="592">
        <v>2</v>
      </c>
      <c r="F62" s="592">
        <v>22</v>
      </c>
      <c r="G62" s="594">
        <v>0</v>
      </c>
      <c r="H62" s="592">
        <v>1</v>
      </c>
      <c r="I62" s="592">
        <v>1</v>
      </c>
      <c r="J62" s="592">
        <v>0</v>
      </c>
      <c r="K62" s="592">
        <v>0</v>
      </c>
      <c r="L62" s="592">
        <v>0</v>
      </c>
      <c r="M62" s="592">
        <v>0</v>
      </c>
      <c r="N62" s="592">
        <v>0</v>
      </c>
      <c r="O62" s="592">
        <v>0</v>
      </c>
      <c r="P62" s="595">
        <f t="shared" si="1"/>
        <v>2</v>
      </c>
    </row>
    <row r="63" spans="1:16">
      <c r="A63" s="590">
        <v>58</v>
      </c>
      <c r="B63" s="591" t="s">
        <v>636</v>
      </c>
      <c r="C63" s="592" t="s">
        <v>579</v>
      </c>
      <c r="D63" s="593">
        <v>0</v>
      </c>
      <c r="E63" s="592">
        <v>2</v>
      </c>
      <c r="F63" s="592">
        <v>22</v>
      </c>
      <c r="G63" s="594">
        <v>0</v>
      </c>
      <c r="H63" s="592">
        <v>0</v>
      </c>
      <c r="I63" s="592">
        <v>0</v>
      </c>
      <c r="J63" s="592">
        <v>0</v>
      </c>
      <c r="K63" s="592">
        <v>0</v>
      </c>
      <c r="L63" s="592">
        <v>0</v>
      </c>
      <c r="M63" s="592">
        <v>0</v>
      </c>
      <c r="N63" s="592">
        <v>0</v>
      </c>
      <c r="O63" s="592">
        <v>0</v>
      </c>
      <c r="P63" s="595">
        <f t="shared" si="1"/>
        <v>0</v>
      </c>
    </row>
    <row r="64" spans="1:16">
      <c r="A64" s="590">
        <v>59</v>
      </c>
      <c r="B64" s="591" t="s">
        <v>637</v>
      </c>
      <c r="C64" s="592" t="s">
        <v>579</v>
      </c>
      <c r="D64" s="593">
        <v>0</v>
      </c>
      <c r="E64" s="592">
        <v>2</v>
      </c>
      <c r="F64" s="592">
        <v>22</v>
      </c>
      <c r="G64" s="594">
        <v>0</v>
      </c>
      <c r="H64" s="592">
        <v>88</v>
      </c>
      <c r="I64" s="592">
        <v>136</v>
      </c>
      <c r="J64" s="592">
        <v>126</v>
      </c>
      <c r="K64" s="592">
        <v>26</v>
      </c>
      <c r="L64" s="592">
        <v>9</v>
      </c>
      <c r="M64" s="592">
        <v>5</v>
      </c>
      <c r="N64" s="592">
        <v>14</v>
      </c>
      <c r="O64" s="592">
        <v>14</v>
      </c>
      <c r="P64" s="595">
        <f t="shared" si="1"/>
        <v>418</v>
      </c>
    </row>
    <row r="65" spans="1:16">
      <c r="A65" s="590">
        <v>60</v>
      </c>
      <c r="B65" s="591" t="s">
        <v>638</v>
      </c>
      <c r="C65" s="592" t="s">
        <v>579</v>
      </c>
      <c r="D65" s="593">
        <v>0</v>
      </c>
      <c r="E65" s="592">
        <v>2</v>
      </c>
      <c r="F65" s="592">
        <v>22</v>
      </c>
      <c r="G65" s="594">
        <v>0</v>
      </c>
      <c r="H65" s="592">
        <v>0</v>
      </c>
      <c r="I65" s="592">
        <v>0</v>
      </c>
      <c r="J65" s="592">
        <v>0</v>
      </c>
      <c r="K65" s="592">
        <v>0</v>
      </c>
      <c r="L65" s="592">
        <v>0</v>
      </c>
      <c r="M65" s="592">
        <v>0</v>
      </c>
      <c r="N65" s="592">
        <v>0</v>
      </c>
      <c r="O65" s="592">
        <v>0</v>
      </c>
      <c r="P65" s="595">
        <f t="shared" si="1"/>
        <v>0</v>
      </c>
    </row>
    <row r="66" spans="1:16">
      <c r="A66" s="590">
        <v>61</v>
      </c>
      <c r="B66" s="591" t="s">
        <v>639</v>
      </c>
      <c r="C66" s="592" t="s">
        <v>579</v>
      </c>
      <c r="D66" s="593">
        <v>0</v>
      </c>
      <c r="E66" s="592">
        <v>2</v>
      </c>
      <c r="F66" s="592">
        <v>22</v>
      </c>
      <c r="G66" s="594">
        <v>0</v>
      </c>
      <c r="H66" s="592">
        <v>0</v>
      </c>
      <c r="I66" s="592">
        <v>0</v>
      </c>
      <c r="J66" s="592">
        <v>0</v>
      </c>
      <c r="K66" s="592">
        <v>0</v>
      </c>
      <c r="L66" s="592">
        <v>0</v>
      </c>
      <c r="M66" s="592">
        <v>0</v>
      </c>
      <c r="N66" s="592">
        <v>0</v>
      </c>
      <c r="O66" s="592">
        <v>0</v>
      </c>
      <c r="P66" s="595">
        <f t="shared" si="1"/>
        <v>0</v>
      </c>
    </row>
    <row r="67" spans="1:16">
      <c r="A67" s="590">
        <v>62</v>
      </c>
      <c r="B67" s="591" t="s">
        <v>640</v>
      </c>
      <c r="C67" s="592" t="s">
        <v>579</v>
      </c>
      <c r="D67" s="593">
        <v>0</v>
      </c>
      <c r="E67" s="592">
        <v>2</v>
      </c>
      <c r="F67" s="592">
        <v>22</v>
      </c>
      <c r="G67" s="594">
        <v>0</v>
      </c>
      <c r="H67" s="592">
        <v>0</v>
      </c>
      <c r="I67" s="592">
        <v>0</v>
      </c>
      <c r="J67" s="592">
        <v>0</v>
      </c>
      <c r="K67" s="592">
        <v>0</v>
      </c>
      <c r="L67" s="592">
        <v>0</v>
      </c>
      <c r="M67" s="592">
        <v>0</v>
      </c>
      <c r="N67" s="592">
        <v>0</v>
      </c>
      <c r="O67" s="592">
        <v>0</v>
      </c>
      <c r="P67" s="595">
        <f t="shared" si="1"/>
        <v>0</v>
      </c>
    </row>
    <row r="68" spans="1:16">
      <c r="A68" s="590">
        <v>63</v>
      </c>
      <c r="B68" s="591" t="s">
        <v>641</v>
      </c>
      <c r="C68" s="592" t="s">
        <v>579</v>
      </c>
      <c r="D68" s="593">
        <v>0</v>
      </c>
      <c r="E68" s="592">
        <v>2</v>
      </c>
      <c r="F68" s="592">
        <v>22</v>
      </c>
      <c r="G68" s="594">
        <v>0</v>
      </c>
      <c r="H68" s="592">
        <v>0</v>
      </c>
      <c r="I68" s="592">
        <v>0</v>
      </c>
      <c r="J68" s="592">
        <v>0</v>
      </c>
      <c r="K68" s="592">
        <v>0</v>
      </c>
      <c r="L68" s="592">
        <v>0</v>
      </c>
      <c r="M68" s="592">
        <v>0</v>
      </c>
      <c r="N68" s="592">
        <v>0</v>
      </c>
      <c r="O68" s="592">
        <v>0</v>
      </c>
      <c r="P68" s="595">
        <f t="shared" si="1"/>
        <v>0</v>
      </c>
    </row>
    <row r="69" spans="1:16">
      <c r="A69" s="590">
        <v>64</v>
      </c>
      <c r="B69" s="591" t="s">
        <v>642</v>
      </c>
      <c r="C69" s="592" t="s">
        <v>579</v>
      </c>
      <c r="D69" s="593">
        <v>0</v>
      </c>
      <c r="E69" s="592">
        <v>2</v>
      </c>
      <c r="F69" s="592">
        <v>22</v>
      </c>
      <c r="G69" s="594">
        <v>0</v>
      </c>
      <c r="H69" s="592">
        <v>1</v>
      </c>
      <c r="I69" s="592">
        <v>2</v>
      </c>
      <c r="J69" s="592">
        <v>0</v>
      </c>
      <c r="K69" s="592">
        <v>0</v>
      </c>
      <c r="L69" s="592">
        <v>0</v>
      </c>
      <c r="M69" s="592">
        <v>0</v>
      </c>
      <c r="N69" s="592">
        <v>0</v>
      </c>
      <c r="O69" s="592">
        <v>0</v>
      </c>
      <c r="P69" s="595">
        <f t="shared" si="1"/>
        <v>3</v>
      </c>
    </row>
    <row r="70" spans="1:16">
      <c r="A70" s="590">
        <v>65</v>
      </c>
      <c r="B70" s="591" t="s">
        <v>643</v>
      </c>
      <c r="C70" s="592" t="s">
        <v>579</v>
      </c>
      <c r="D70" s="593">
        <v>0</v>
      </c>
      <c r="E70" s="592">
        <v>2</v>
      </c>
      <c r="F70" s="592">
        <v>22</v>
      </c>
      <c r="G70" s="594">
        <v>0</v>
      </c>
      <c r="H70" s="592">
        <v>0</v>
      </c>
      <c r="I70" s="592">
        <v>0</v>
      </c>
      <c r="J70" s="592">
        <v>0</v>
      </c>
      <c r="K70" s="592">
        <v>0</v>
      </c>
      <c r="L70" s="592">
        <v>0</v>
      </c>
      <c r="M70" s="592">
        <v>0</v>
      </c>
      <c r="N70" s="592">
        <v>0</v>
      </c>
      <c r="O70" s="592">
        <v>0</v>
      </c>
      <c r="P70" s="595">
        <f t="shared" ref="P70:P101" si="2">SUM(H70:O70)</f>
        <v>0</v>
      </c>
    </row>
    <row r="71" spans="1:16">
      <c r="A71" s="590">
        <v>66</v>
      </c>
      <c r="B71" s="591" t="s">
        <v>644</v>
      </c>
      <c r="C71" s="592" t="s">
        <v>579</v>
      </c>
      <c r="D71" s="593">
        <v>0</v>
      </c>
      <c r="E71" s="592">
        <v>2</v>
      </c>
      <c r="F71" s="592">
        <v>22</v>
      </c>
      <c r="G71" s="594">
        <v>0</v>
      </c>
      <c r="H71" s="592">
        <v>0</v>
      </c>
      <c r="I71" s="592">
        <v>0</v>
      </c>
      <c r="J71" s="592">
        <v>0</v>
      </c>
      <c r="K71" s="592">
        <v>0</v>
      </c>
      <c r="L71" s="592">
        <v>0</v>
      </c>
      <c r="M71" s="592">
        <v>0</v>
      </c>
      <c r="N71" s="592">
        <v>0</v>
      </c>
      <c r="O71" s="592">
        <v>0</v>
      </c>
      <c r="P71" s="595">
        <f t="shared" si="2"/>
        <v>0</v>
      </c>
    </row>
    <row r="72" spans="1:16">
      <c r="A72" s="590">
        <v>67</v>
      </c>
      <c r="B72" s="591" t="s">
        <v>645</v>
      </c>
      <c r="C72" s="592" t="s">
        <v>579</v>
      </c>
      <c r="D72" s="593">
        <v>0</v>
      </c>
      <c r="E72" s="592">
        <v>2</v>
      </c>
      <c r="F72" s="592">
        <v>22</v>
      </c>
      <c r="G72" s="594">
        <v>0</v>
      </c>
      <c r="H72" s="592">
        <v>0</v>
      </c>
      <c r="I72" s="592">
        <v>0</v>
      </c>
      <c r="J72" s="592">
        <v>0</v>
      </c>
      <c r="K72" s="592">
        <v>0</v>
      </c>
      <c r="L72" s="592">
        <v>0</v>
      </c>
      <c r="M72" s="592">
        <v>0</v>
      </c>
      <c r="N72" s="592">
        <v>0</v>
      </c>
      <c r="O72" s="592">
        <v>0</v>
      </c>
      <c r="P72" s="595">
        <f t="shared" si="2"/>
        <v>0</v>
      </c>
    </row>
    <row r="73" spans="1:16">
      <c r="A73" s="590">
        <v>68</v>
      </c>
      <c r="B73" s="591" t="s">
        <v>646</v>
      </c>
      <c r="C73" s="592" t="s">
        <v>579</v>
      </c>
      <c r="D73" s="593">
        <v>0</v>
      </c>
      <c r="E73" s="592">
        <v>2</v>
      </c>
      <c r="F73" s="592">
        <v>22</v>
      </c>
      <c r="G73" s="594">
        <v>0</v>
      </c>
      <c r="H73" s="592">
        <v>1</v>
      </c>
      <c r="I73" s="592">
        <v>2</v>
      </c>
      <c r="J73" s="592">
        <v>0</v>
      </c>
      <c r="K73" s="592">
        <v>0</v>
      </c>
      <c r="L73" s="592">
        <v>0</v>
      </c>
      <c r="M73" s="592">
        <v>0</v>
      </c>
      <c r="N73" s="592">
        <v>0</v>
      </c>
      <c r="O73" s="592">
        <v>0</v>
      </c>
      <c r="P73" s="595">
        <f t="shared" si="2"/>
        <v>3</v>
      </c>
    </row>
    <row r="74" spans="1:16">
      <c r="A74" s="590">
        <v>69</v>
      </c>
      <c r="B74" s="591" t="s">
        <v>647</v>
      </c>
      <c r="C74" s="592" t="s">
        <v>579</v>
      </c>
      <c r="D74" s="593">
        <v>0</v>
      </c>
      <c r="E74" s="592">
        <v>2</v>
      </c>
      <c r="F74" s="592">
        <v>22</v>
      </c>
      <c r="G74" s="594">
        <v>0</v>
      </c>
      <c r="H74" s="592">
        <v>0</v>
      </c>
      <c r="I74" s="592">
        <v>0</v>
      </c>
      <c r="J74" s="592">
        <v>0</v>
      </c>
      <c r="K74" s="592">
        <v>0</v>
      </c>
      <c r="L74" s="592">
        <v>0</v>
      </c>
      <c r="M74" s="592">
        <v>0</v>
      </c>
      <c r="N74" s="592">
        <v>0</v>
      </c>
      <c r="O74" s="592">
        <v>0</v>
      </c>
      <c r="P74" s="595">
        <f t="shared" si="2"/>
        <v>0</v>
      </c>
    </row>
    <row r="75" spans="1:16">
      <c r="A75" s="590">
        <v>70</v>
      </c>
      <c r="B75" s="591" t="s">
        <v>648</v>
      </c>
      <c r="C75" s="592" t="s">
        <v>579</v>
      </c>
      <c r="D75" s="593">
        <v>0</v>
      </c>
      <c r="E75" s="592">
        <v>2</v>
      </c>
      <c r="F75" s="592">
        <v>22</v>
      </c>
      <c r="G75" s="594">
        <v>0</v>
      </c>
      <c r="H75" s="592">
        <v>0</v>
      </c>
      <c r="I75" s="592">
        <v>0</v>
      </c>
      <c r="J75" s="592">
        <v>0</v>
      </c>
      <c r="K75" s="592">
        <v>0</v>
      </c>
      <c r="L75" s="592">
        <v>0</v>
      </c>
      <c r="M75" s="592">
        <v>0</v>
      </c>
      <c r="N75" s="592">
        <v>0</v>
      </c>
      <c r="O75" s="592">
        <v>0</v>
      </c>
      <c r="P75" s="595">
        <f t="shared" si="2"/>
        <v>0</v>
      </c>
    </row>
    <row r="76" spans="1:16">
      <c r="A76" s="590">
        <v>71</v>
      </c>
      <c r="B76" s="591" t="s">
        <v>649</v>
      </c>
      <c r="C76" s="592" t="s">
        <v>579</v>
      </c>
      <c r="D76" s="593">
        <v>0</v>
      </c>
      <c r="E76" s="592">
        <v>2</v>
      </c>
      <c r="F76" s="592">
        <v>22</v>
      </c>
      <c r="G76" s="594">
        <v>0</v>
      </c>
      <c r="H76" s="592">
        <v>1</v>
      </c>
      <c r="I76" s="592">
        <v>2</v>
      </c>
      <c r="J76" s="592">
        <v>0</v>
      </c>
      <c r="K76" s="592">
        <v>0</v>
      </c>
      <c r="L76" s="592">
        <v>0</v>
      </c>
      <c r="M76" s="592">
        <v>0</v>
      </c>
      <c r="N76" s="592">
        <v>0</v>
      </c>
      <c r="O76" s="592">
        <v>0</v>
      </c>
      <c r="P76" s="595">
        <f t="shared" si="2"/>
        <v>3</v>
      </c>
    </row>
    <row r="77" spans="1:16">
      <c r="A77" s="590">
        <v>72</v>
      </c>
      <c r="B77" s="591" t="s">
        <v>650</v>
      </c>
      <c r="C77" s="592" t="s">
        <v>579</v>
      </c>
      <c r="D77" s="593">
        <v>0</v>
      </c>
      <c r="E77" s="592">
        <v>2</v>
      </c>
      <c r="F77" s="592">
        <v>22</v>
      </c>
      <c r="G77" s="594">
        <v>0</v>
      </c>
      <c r="H77" s="592">
        <v>0</v>
      </c>
      <c r="I77" s="592">
        <v>0</v>
      </c>
      <c r="J77" s="592">
        <v>0</v>
      </c>
      <c r="K77" s="592">
        <v>0</v>
      </c>
      <c r="L77" s="592">
        <v>0</v>
      </c>
      <c r="M77" s="592">
        <v>0</v>
      </c>
      <c r="N77" s="592">
        <v>0</v>
      </c>
      <c r="O77" s="592">
        <v>0</v>
      </c>
      <c r="P77" s="595">
        <f t="shared" si="2"/>
        <v>0</v>
      </c>
    </row>
    <row r="78" spans="1:16">
      <c r="A78" s="590">
        <v>73</v>
      </c>
      <c r="B78" s="591" t="s">
        <v>651</v>
      </c>
      <c r="C78" s="592" t="s">
        <v>579</v>
      </c>
      <c r="D78" s="593">
        <v>0</v>
      </c>
      <c r="E78" s="592">
        <v>2</v>
      </c>
      <c r="F78" s="592">
        <v>22</v>
      </c>
      <c r="G78" s="594">
        <v>0</v>
      </c>
      <c r="H78" s="592">
        <v>1</v>
      </c>
      <c r="I78" s="592">
        <v>1</v>
      </c>
      <c r="J78" s="592">
        <v>0</v>
      </c>
      <c r="K78" s="592">
        <v>0</v>
      </c>
      <c r="L78" s="592">
        <v>0</v>
      </c>
      <c r="M78" s="592">
        <v>0</v>
      </c>
      <c r="N78" s="592">
        <v>0</v>
      </c>
      <c r="O78" s="592">
        <v>0</v>
      </c>
      <c r="P78" s="595">
        <f t="shared" si="2"/>
        <v>2</v>
      </c>
    </row>
    <row r="79" spans="1:16">
      <c r="A79" s="590">
        <v>74</v>
      </c>
      <c r="B79" s="591" t="s">
        <v>652</v>
      </c>
      <c r="C79" s="592" t="s">
        <v>579</v>
      </c>
      <c r="D79" s="593">
        <v>0</v>
      </c>
      <c r="E79" s="592">
        <v>2</v>
      </c>
      <c r="F79" s="592">
        <v>22</v>
      </c>
      <c r="G79" s="594">
        <v>0</v>
      </c>
      <c r="H79" s="592">
        <v>0</v>
      </c>
      <c r="I79" s="592">
        <v>0</v>
      </c>
      <c r="J79" s="592">
        <v>0</v>
      </c>
      <c r="K79" s="592">
        <v>0</v>
      </c>
      <c r="L79" s="592">
        <v>0</v>
      </c>
      <c r="M79" s="592">
        <v>0</v>
      </c>
      <c r="N79" s="592">
        <v>0</v>
      </c>
      <c r="O79" s="592">
        <v>0</v>
      </c>
      <c r="P79" s="595">
        <f t="shared" si="2"/>
        <v>0</v>
      </c>
    </row>
    <row r="80" spans="1:16">
      <c r="A80" s="590">
        <v>75</v>
      </c>
      <c r="B80" s="591" t="s">
        <v>653</v>
      </c>
      <c r="C80" s="592" t="s">
        <v>579</v>
      </c>
      <c r="D80" s="593">
        <v>0</v>
      </c>
      <c r="E80" s="592">
        <v>2</v>
      </c>
      <c r="F80" s="592">
        <v>22</v>
      </c>
      <c r="G80" s="594">
        <v>0</v>
      </c>
      <c r="H80" s="592">
        <v>0</v>
      </c>
      <c r="I80" s="592">
        <v>0</v>
      </c>
      <c r="J80" s="592">
        <v>0</v>
      </c>
      <c r="K80" s="592">
        <v>0</v>
      </c>
      <c r="L80" s="592">
        <v>0</v>
      </c>
      <c r="M80" s="592">
        <v>0</v>
      </c>
      <c r="N80" s="592">
        <v>0</v>
      </c>
      <c r="O80" s="592">
        <v>0</v>
      </c>
      <c r="P80" s="595">
        <f t="shared" si="2"/>
        <v>0</v>
      </c>
    </row>
    <row r="81" spans="1:16">
      <c r="A81" s="590">
        <v>76</v>
      </c>
      <c r="B81" s="591" t="s">
        <v>654</v>
      </c>
      <c r="C81" s="592" t="s">
        <v>579</v>
      </c>
      <c r="D81" s="593">
        <v>0</v>
      </c>
      <c r="E81" s="592">
        <v>2</v>
      </c>
      <c r="F81" s="592">
        <v>22</v>
      </c>
      <c r="G81" s="594">
        <v>0</v>
      </c>
      <c r="H81" s="592">
        <v>1</v>
      </c>
      <c r="I81" s="592">
        <v>2</v>
      </c>
      <c r="J81" s="592">
        <v>0</v>
      </c>
      <c r="K81" s="592">
        <v>0</v>
      </c>
      <c r="L81" s="592">
        <v>0</v>
      </c>
      <c r="M81" s="592">
        <v>0</v>
      </c>
      <c r="N81" s="592">
        <v>0</v>
      </c>
      <c r="O81" s="592">
        <v>0</v>
      </c>
      <c r="P81" s="595">
        <f t="shared" si="2"/>
        <v>3</v>
      </c>
    </row>
    <row r="82" spans="1:16">
      <c r="A82" s="590">
        <v>77</v>
      </c>
      <c r="B82" s="591" t="s">
        <v>655</v>
      </c>
      <c r="C82" s="592" t="s">
        <v>579</v>
      </c>
      <c r="D82" s="593">
        <v>0</v>
      </c>
      <c r="E82" s="592">
        <v>2</v>
      </c>
      <c r="F82" s="592">
        <v>22</v>
      </c>
      <c r="G82" s="594">
        <v>0</v>
      </c>
      <c r="H82" s="592">
        <v>5</v>
      </c>
      <c r="I82" s="592">
        <v>7</v>
      </c>
      <c r="J82" s="592">
        <v>1</v>
      </c>
      <c r="K82" s="592">
        <v>3</v>
      </c>
      <c r="L82" s="592">
        <v>1</v>
      </c>
      <c r="M82" s="592">
        <v>0</v>
      </c>
      <c r="N82" s="592">
        <v>1</v>
      </c>
      <c r="O82" s="592">
        <v>0</v>
      </c>
      <c r="P82" s="595">
        <f t="shared" si="2"/>
        <v>18</v>
      </c>
    </row>
    <row r="83" spans="1:16">
      <c r="A83" s="590">
        <v>78</v>
      </c>
      <c r="B83" s="591" t="s">
        <v>656</v>
      </c>
      <c r="C83" s="592" t="s">
        <v>579</v>
      </c>
      <c r="D83" s="593">
        <v>0</v>
      </c>
      <c r="E83" s="592">
        <v>2</v>
      </c>
      <c r="F83" s="592">
        <v>22</v>
      </c>
      <c r="G83" s="594">
        <v>0</v>
      </c>
      <c r="H83" s="592">
        <v>1</v>
      </c>
      <c r="I83" s="592">
        <v>2</v>
      </c>
      <c r="J83" s="592">
        <v>0</v>
      </c>
      <c r="K83" s="592">
        <v>0</v>
      </c>
      <c r="L83" s="592">
        <v>0</v>
      </c>
      <c r="M83" s="592">
        <v>0</v>
      </c>
      <c r="N83" s="592">
        <v>0</v>
      </c>
      <c r="O83" s="592">
        <v>0</v>
      </c>
      <c r="P83" s="595">
        <f t="shared" si="2"/>
        <v>3</v>
      </c>
    </row>
    <row r="84" spans="1:16">
      <c r="A84" s="590">
        <v>79</v>
      </c>
      <c r="B84" s="591" t="s">
        <v>657</v>
      </c>
      <c r="C84" s="592" t="s">
        <v>579</v>
      </c>
      <c r="D84" s="593">
        <v>0</v>
      </c>
      <c r="E84" s="592">
        <v>2</v>
      </c>
      <c r="F84" s="592">
        <v>22</v>
      </c>
      <c r="G84" s="594">
        <v>0</v>
      </c>
      <c r="H84" s="592">
        <v>0</v>
      </c>
      <c r="I84" s="592">
        <v>0</v>
      </c>
      <c r="J84" s="592">
        <v>0</v>
      </c>
      <c r="K84" s="592">
        <v>0</v>
      </c>
      <c r="L84" s="592">
        <v>0</v>
      </c>
      <c r="M84" s="592">
        <v>0</v>
      </c>
      <c r="N84" s="592">
        <v>0</v>
      </c>
      <c r="O84" s="592">
        <v>0</v>
      </c>
      <c r="P84" s="595">
        <f t="shared" si="2"/>
        <v>0</v>
      </c>
    </row>
    <row r="85" spans="1:16">
      <c r="A85" s="590">
        <v>80</v>
      </c>
      <c r="B85" s="591" t="s">
        <v>658</v>
      </c>
      <c r="C85" s="592" t="s">
        <v>579</v>
      </c>
      <c r="D85" s="593">
        <v>0</v>
      </c>
      <c r="E85" s="592">
        <v>2</v>
      </c>
      <c r="F85" s="592">
        <v>22</v>
      </c>
      <c r="G85" s="594">
        <v>0</v>
      </c>
      <c r="H85" s="592">
        <v>1</v>
      </c>
      <c r="I85" s="592">
        <v>1</v>
      </c>
      <c r="J85" s="592">
        <v>0</v>
      </c>
      <c r="K85" s="592">
        <v>0</v>
      </c>
      <c r="L85" s="592">
        <v>0</v>
      </c>
      <c r="M85" s="592">
        <v>0</v>
      </c>
      <c r="N85" s="592">
        <v>0</v>
      </c>
      <c r="O85" s="592">
        <v>0</v>
      </c>
      <c r="P85" s="595">
        <f t="shared" si="2"/>
        <v>2</v>
      </c>
    </row>
    <row r="86" spans="1:16">
      <c r="A86" s="590">
        <v>81</v>
      </c>
      <c r="B86" s="591" t="s">
        <v>659</v>
      </c>
      <c r="C86" s="592" t="s">
        <v>579</v>
      </c>
      <c r="D86" s="593">
        <v>0</v>
      </c>
      <c r="E86" s="592">
        <v>2</v>
      </c>
      <c r="F86" s="592">
        <v>22</v>
      </c>
      <c r="G86" s="594">
        <v>0</v>
      </c>
      <c r="H86" s="592">
        <v>1</v>
      </c>
      <c r="I86" s="592">
        <v>2</v>
      </c>
      <c r="J86" s="592">
        <v>0</v>
      </c>
      <c r="K86" s="592">
        <v>0</v>
      </c>
      <c r="L86" s="592">
        <v>0</v>
      </c>
      <c r="M86" s="592">
        <v>0</v>
      </c>
      <c r="N86" s="592">
        <v>0</v>
      </c>
      <c r="O86" s="592">
        <v>0</v>
      </c>
      <c r="P86" s="595">
        <f t="shared" si="2"/>
        <v>3</v>
      </c>
    </row>
    <row r="87" spans="1:16">
      <c r="A87" s="590">
        <v>82</v>
      </c>
      <c r="B87" s="591" t="s">
        <v>660</v>
      </c>
      <c r="C87" s="592" t="s">
        <v>579</v>
      </c>
      <c r="D87" s="593">
        <v>0</v>
      </c>
      <c r="E87" s="592">
        <v>2</v>
      </c>
      <c r="F87" s="592">
        <v>22</v>
      </c>
      <c r="G87" s="594">
        <v>0</v>
      </c>
      <c r="H87" s="592">
        <v>1</v>
      </c>
      <c r="I87" s="592">
        <v>1</v>
      </c>
      <c r="J87" s="592">
        <v>0</v>
      </c>
      <c r="K87" s="592">
        <v>0</v>
      </c>
      <c r="L87" s="592">
        <v>0</v>
      </c>
      <c r="M87" s="592">
        <v>0</v>
      </c>
      <c r="N87" s="592">
        <v>0</v>
      </c>
      <c r="O87" s="592">
        <v>0</v>
      </c>
      <c r="P87" s="595">
        <f t="shared" si="2"/>
        <v>2</v>
      </c>
    </row>
    <row r="88" spans="1:16">
      <c r="A88" s="590">
        <v>83</v>
      </c>
      <c r="B88" s="591" t="s">
        <v>661</v>
      </c>
      <c r="C88" s="592" t="s">
        <v>579</v>
      </c>
      <c r="D88" s="593">
        <v>0</v>
      </c>
      <c r="E88" s="592">
        <v>2</v>
      </c>
      <c r="F88" s="592">
        <v>22</v>
      </c>
      <c r="G88" s="594">
        <v>0</v>
      </c>
      <c r="H88" s="592">
        <v>1</v>
      </c>
      <c r="I88" s="592">
        <v>1</v>
      </c>
      <c r="J88" s="592">
        <v>0</v>
      </c>
      <c r="K88" s="592">
        <v>0</v>
      </c>
      <c r="L88" s="592">
        <v>0</v>
      </c>
      <c r="M88" s="592">
        <v>0</v>
      </c>
      <c r="N88" s="592">
        <v>0</v>
      </c>
      <c r="O88" s="592">
        <v>0</v>
      </c>
      <c r="P88" s="595">
        <f t="shared" si="2"/>
        <v>2</v>
      </c>
    </row>
    <row r="89" spans="1:16">
      <c r="A89" s="590">
        <v>84</v>
      </c>
      <c r="B89" s="591" t="s">
        <v>662</v>
      </c>
      <c r="C89" s="592" t="s">
        <v>579</v>
      </c>
      <c r="D89" s="593">
        <v>0</v>
      </c>
      <c r="E89" s="592">
        <v>2</v>
      </c>
      <c r="F89" s="592">
        <v>22</v>
      </c>
      <c r="G89" s="594">
        <v>0</v>
      </c>
      <c r="H89" s="592">
        <v>0</v>
      </c>
      <c r="I89" s="592">
        <v>0</v>
      </c>
      <c r="J89" s="592">
        <v>0</v>
      </c>
      <c r="K89" s="592">
        <v>0</v>
      </c>
      <c r="L89" s="592">
        <v>0</v>
      </c>
      <c r="M89" s="592">
        <v>0</v>
      </c>
      <c r="N89" s="592">
        <v>0</v>
      </c>
      <c r="O89" s="592">
        <v>0</v>
      </c>
      <c r="P89" s="595">
        <f t="shared" si="2"/>
        <v>0</v>
      </c>
    </row>
    <row r="90" spans="1:16">
      <c r="A90" s="590">
        <v>85</v>
      </c>
      <c r="B90" s="591" t="s">
        <v>663</v>
      </c>
      <c r="C90" s="592" t="s">
        <v>579</v>
      </c>
      <c r="D90" s="593">
        <v>0</v>
      </c>
      <c r="E90" s="592">
        <v>2</v>
      </c>
      <c r="F90" s="592">
        <v>22</v>
      </c>
      <c r="G90" s="594">
        <v>0</v>
      </c>
      <c r="H90" s="592">
        <v>0</v>
      </c>
      <c r="I90" s="592">
        <v>0</v>
      </c>
      <c r="J90" s="592">
        <v>0</v>
      </c>
      <c r="K90" s="592">
        <v>0</v>
      </c>
      <c r="L90" s="592">
        <v>0</v>
      </c>
      <c r="M90" s="592">
        <v>0</v>
      </c>
      <c r="N90" s="592">
        <v>0</v>
      </c>
      <c r="O90" s="592">
        <v>0</v>
      </c>
      <c r="P90" s="595">
        <f t="shared" si="2"/>
        <v>0</v>
      </c>
    </row>
    <row r="91" spans="1:16">
      <c r="A91" s="590">
        <v>86</v>
      </c>
      <c r="B91" s="591" t="s">
        <v>664</v>
      </c>
      <c r="C91" s="592" t="s">
        <v>579</v>
      </c>
      <c r="D91" s="593">
        <v>0</v>
      </c>
      <c r="E91" s="592">
        <v>2</v>
      </c>
      <c r="F91" s="592">
        <v>22</v>
      </c>
      <c r="G91" s="594">
        <v>0</v>
      </c>
      <c r="H91" s="592">
        <v>1</v>
      </c>
      <c r="I91" s="592">
        <v>2</v>
      </c>
      <c r="J91" s="592">
        <v>0</v>
      </c>
      <c r="K91" s="592">
        <v>0</v>
      </c>
      <c r="L91" s="592">
        <v>0</v>
      </c>
      <c r="M91" s="592">
        <v>0</v>
      </c>
      <c r="N91" s="592">
        <v>0</v>
      </c>
      <c r="O91" s="592">
        <v>0</v>
      </c>
      <c r="P91" s="595">
        <f t="shared" si="2"/>
        <v>3</v>
      </c>
    </row>
    <row r="92" spans="1:16">
      <c r="A92" s="590">
        <v>87</v>
      </c>
      <c r="B92" s="591" t="s">
        <v>665</v>
      </c>
      <c r="C92" s="592" t="s">
        <v>579</v>
      </c>
      <c r="D92" s="593">
        <v>0</v>
      </c>
      <c r="E92" s="592">
        <v>2</v>
      </c>
      <c r="F92" s="592">
        <v>22</v>
      </c>
      <c r="G92" s="594">
        <v>0</v>
      </c>
      <c r="H92" s="592">
        <v>1</v>
      </c>
      <c r="I92" s="592">
        <v>2</v>
      </c>
      <c r="J92" s="592">
        <v>0</v>
      </c>
      <c r="K92" s="592">
        <v>0</v>
      </c>
      <c r="L92" s="592">
        <v>0</v>
      </c>
      <c r="M92" s="592">
        <v>0</v>
      </c>
      <c r="N92" s="592">
        <v>0</v>
      </c>
      <c r="O92" s="592">
        <v>0</v>
      </c>
      <c r="P92" s="595">
        <f t="shared" si="2"/>
        <v>3</v>
      </c>
    </row>
    <row r="93" spans="1:16">
      <c r="A93" s="590">
        <v>88</v>
      </c>
      <c r="B93" s="591" t="s">
        <v>666</v>
      </c>
      <c r="C93" s="592" t="s">
        <v>579</v>
      </c>
      <c r="D93" s="593">
        <v>0</v>
      </c>
      <c r="E93" s="592">
        <v>2</v>
      </c>
      <c r="F93" s="592">
        <v>22</v>
      </c>
      <c r="G93" s="594">
        <v>0</v>
      </c>
      <c r="H93" s="592">
        <v>1</v>
      </c>
      <c r="I93" s="592">
        <v>2</v>
      </c>
      <c r="J93" s="592">
        <v>0</v>
      </c>
      <c r="K93" s="592">
        <v>0</v>
      </c>
      <c r="L93" s="592">
        <v>0</v>
      </c>
      <c r="M93" s="592">
        <v>0</v>
      </c>
      <c r="N93" s="592">
        <v>0</v>
      </c>
      <c r="O93" s="592">
        <v>0</v>
      </c>
      <c r="P93" s="595">
        <f t="shared" si="2"/>
        <v>3</v>
      </c>
    </row>
    <row r="94" spans="1:16">
      <c r="A94" s="590">
        <v>89</v>
      </c>
      <c r="B94" s="591" t="s">
        <v>667</v>
      </c>
      <c r="C94" s="592" t="s">
        <v>579</v>
      </c>
      <c r="D94" s="593">
        <v>0</v>
      </c>
      <c r="E94" s="592">
        <v>2</v>
      </c>
      <c r="F94" s="592">
        <v>22</v>
      </c>
      <c r="G94" s="594">
        <v>0</v>
      </c>
      <c r="H94" s="592">
        <v>0</v>
      </c>
      <c r="I94" s="592">
        <v>0</v>
      </c>
      <c r="J94" s="592">
        <v>0</v>
      </c>
      <c r="K94" s="592">
        <v>0</v>
      </c>
      <c r="L94" s="592">
        <v>0</v>
      </c>
      <c r="M94" s="592">
        <v>0</v>
      </c>
      <c r="N94" s="592">
        <v>0</v>
      </c>
      <c r="O94" s="592">
        <v>0</v>
      </c>
      <c r="P94" s="595">
        <f t="shared" si="2"/>
        <v>0</v>
      </c>
    </row>
    <row r="95" spans="1:16">
      <c r="A95" s="590">
        <v>90</v>
      </c>
      <c r="B95" s="591" t="s">
        <v>668</v>
      </c>
      <c r="C95" s="592" t="s">
        <v>579</v>
      </c>
      <c r="D95" s="593">
        <v>0</v>
      </c>
      <c r="E95" s="592">
        <v>2</v>
      </c>
      <c r="F95" s="592">
        <v>22</v>
      </c>
      <c r="G95" s="594">
        <v>0</v>
      </c>
      <c r="H95" s="592">
        <v>1</v>
      </c>
      <c r="I95" s="592">
        <v>1</v>
      </c>
      <c r="J95" s="592">
        <v>0</v>
      </c>
      <c r="K95" s="592">
        <v>0</v>
      </c>
      <c r="L95" s="592">
        <v>0</v>
      </c>
      <c r="M95" s="592">
        <v>0</v>
      </c>
      <c r="N95" s="592">
        <v>0</v>
      </c>
      <c r="O95" s="592">
        <v>0</v>
      </c>
      <c r="P95" s="595">
        <f t="shared" si="2"/>
        <v>2</v>
      </c>
    </row>
    <row r="96" spans="1:16">
      <c r="A96" s="590">
        <v>91</v>
      </c>
      <c r="B96" s="591" t="s">
        <v>669</v>
      </c>
      <c r="C96" s="592" t="s">
        <v>579</v>
      </c>
      <c r="D96" s="593">
        <v>0</v>
      </c>
      <c r="E96" s="592">
        <v>2</v>
      </c>
      <c r="F96" s="592">
        <v>22</v>
      </c>
      <c r="G96" s="594">
        <v>0</v>
      </c>
      <c r="H96" s="592">
        <v>0</v>
      </c>
      <c r="I96" s="592">
        <v>0</v>
      </c>
      <c r="J96" s="592">
        <v>0</v>
      </c>
      <c r="K96" s="592">
        <v>0</v>
      </c>
      <c r="L96" s="592">
        <v>0</v>
      </c>
      <c r="M96" s="592">
        <v>0</v>
      </c>
      <c r="N96" s="592">
        <v>0</v>
      </c>
      <c r="O96" s="592">
        <v>0</v>
      </c>
      <c r="P96" s="595">
        <f t="shared" si="2"/>
        <v>0</v>
      </c>
    </row>
    <row r="97" spans="1:16">
      <c r="A97" s="590">
        <v>92</v>
      </c>
      <c r="B97" s="591" t="s">
        <v>670</v>
      </c>
      <c r="C97" s="592" t="s">
        <v>579</v>
      </c>
      <c r="D97" s="593">
        <v>0</v>
      </c>
      <c r="E97" s="592">
        <v>2</v>
      </c>
      <c r="F97" s="592">
        <v>22</v>
      </c>
      <c r="G97" s="594">
        <v>0</v>
      </c>
      <c r="H97" s="592">
        <v>1</v>
      </c>
      <c r="I97" s="592">
        <v>1</v>
      </c>
      <c r="J97" s="592">
        <v>0</v>
      </c>
      <c r="K97" s="592">
        <v>0</v>
      </c>
      <c r="L97" s="592">
        <v>0</v>
      </c>
      <c r="M97" s="592">
        <v>0</v>
      </c>
      <c r="N97" s="592">
        <v>0</v>
      </c>
      <c r="O97" s="592">
        <v>0</v>
      </c>
      <c r="P97" s="595">
        <f t="shared" si="2"/>
        <v>2</v>
      </c>
    </row>
    <row r="98" spans="1:16">
      <c r="A98" s="590">
        <v>93</v>
      </c>
      <c r="B98" s="591" t="s">
        <v>671</v>
      </c>
      <c r="C98" s="592" t="s">
        <v>579</v>
      </c>
      <c r="D98" s="593">
        <v>0</v>
      </c>
      <c r="E98" s="592">
        <v>2</v>
      </c>
      <c r="F98" s="592">
        <v>22</v>
      </c>
      <c r="G98" s="594">
        <v>0</v>
      </c>
      <c r="H98" s="592">
        <v>0</v>
      </c>
      <c r="I98" s="592">
        <v>0</v>
      </c>
      <c r="J98" s="592">
        <v>0</v>
      </c>
      <c r="K98" s="592">
        <v>0</v>
      </c>
      <c r="L98" s="592">
        <v>0</v>
      </c>
      <c r="M98" s="592">
        <v>0</v>
      </c>
      <c r="N98" s="592">
        <v>0</v>
      </c>
      <c r="O98" s="592">
        <v>0</v>
      </c>
      <c r="P98" s="595">
        <f t="shared" si="2"/>
        <v>0</v>
      </c>
    </row>
    <row r="99" spans="1:16">
      <c r="A99" s="590">
        <v>94</v>
      </c>
      <c r="B99" s="591" t="s">
        <v>672</v>
      </c>
      <c r="C99" s="592" t="s">
        <v>579</v>
      </c>
      <c r="D99" s="593">
        <v>0</v>
      </c>
      <c r="E99" s="592">
        <v>2</v>
      </c>
      <c r="F99" s="592">
        <v>22</v>
      </c>
      <c r="G99" s="594">
        <v>0</v>
      </c>
      <c r="H99" s="592">
        <v>1</v>
      </c>
      <c r="I99" s="592">
        <v>1</v>
      </c>
      <c r="J99" s="592">
        <v>0</v>
      </c>
      <c r="K99" s="592">
        <v>0</v>
      </c>
      <c r="L99" s="592">
        <v>0</v>
      </c>
      <c r="M99" s="592">
        <v>0</v>
      </c>
      <c r="N99" s="592">
        <v>0</v>
      </c>
      <c r="O99" s="592">
        <v>0</v>
      </c>
      <c r="P99" s="595">
        <f t="shared" si="2"/>
        <v>2</v>
      </c>
    </row>
    <row r="100" spans="1:16">
      <c r="A100" s="590">
        <v>95</v>
      </c>
      <c r="B100" s="591" t="s">
        <v>673</v>
      </c>
      <c r="C100" s="592" t="s">
        <v>579</v>
      </c>
      <c r="D100" s="593">
        <v>0</v>
      </c>
      <c r="E100" s="592">
        <v>2</v>
      </c>
      <c r="F100" s="592">
        <v>22</v>
      </c>
      <c r="G100" s="594">
        <v>0</v>
      </c>
      <c r="H100" s="592">
        <v>1</v>
      </c>
      <c r="I100" s="592">
        <v>1</v>
      </c>
      <c r="J100" s="592">
        <v>0</v>
      </c>
      <c r="K100" s="592">
        <v>0</v>
      </c>
      <c r="L100" s="592">
        <v>0</v>
      </c>
      <c r="M100" s="592">
        <v>0</v>
      </c>
      <c r="N100" s="592">
        <v>0</v>
      </c>
      <c r="O100" s="592">
        <v>0</v>
      </c>
      <c r="P100" s="595">
        <f t="shared" si="2"/>
        <v>2</v>
      </c>
    </row>
    <row r="101" spans="1:16">
      <c r="A101" s="590">
        <v>96</v>
      </c>
      <c r="B101" s="591" t="s">
        <v>674</v>
      </c>
      <c r="C101" s="592" t="s">
        <v>579</v>
      </c>
      <c r="D101" s="593">
        <v>0</v>
      </c>
      <c r="E101" s="592">
        <v>2</v>
      </c>
      <c r="F101" s="592">
        <v>22</v>
      </c>
      <c r="G101" s="594">
        <v>0</v>
      </c>
      <c r="H101" s="592">
        <v>1</v>
      </c>
      <c r="I101" s="592">
        <v>1</v>
      </c>
      <c r="J101" s="592">
        <v>0</v>
      </c>
      <c r="K101" s="592">
        <v>0</v>
      </c>
      <c r="L101" s="592">
        <v>0</v>
      </c>
      <c r="M101" s="592">
        <v>0</v>
      </c>
      <c r="N101" s="592">
        <v>0</v>
      </c>
      <c r="O101" s="592">
        <v>0</v>
      </c>
      <c r="P101" s="595">
        <f t="shared" si="2"/>
        <v>2</v>
      </c>
    </row>
    <row r="102" spans="1:16">
      <c r="A102" s="590">
        <v>97</v>
      </c>
      <c r="B102" s="591" t="s">
        <v>675</v>
      </c>
      <c r="C102" s="592" t="s">
        <v>579</v>
      </c>
      <c r="D102" s="593">
        <v>0</v>
      </c>
      <c r="E102" s="592">
        <v>2</v>
      </c>
      <c r="F102" s="592">
        <v>22</v>
      </c>
      <c r="G102" s="594">
        <v>0</v>
      </c>
      <c r="H102" s="592">
        <v>0</v>
      </c>
      <c r="I102" s="592">
        <v>0</v>
      </c>
      <c r="J102" s="592">
        <v>0</v>
      </c>
      <c r="K102" s="592">
        <v>0</v>
      </c>
      <c r="L102" s="592">
        <v>0</v>
      </c>
      <c r="M102" s="592">
        <v>0</v>
      </c>
      <c r="N102" s="592">
        <v>0</v>
      </c>
      <c r="O102" s="592">
        <v>0</v>
      </c>
      <c r="P102" s="595">
        <f t="shared" ref="P102:P133" si="3">SUM(H102:O102)</f>
        <v>0</v>
      </c>
    </row>
    <row r="103" spans="1:16">
      <c r="A103" s="590">
        <v>98</v>
      </c>
      <c r="B103" s="591" t="s">
        <v>676</v>
      </c>
      <c r="C103" s="592" t="s">
        <v>579</v>
      </c>
      <c r="D103" s="593">
        <v>0</v>
      </c>
      <c r="E103" s="592">
        <v>2</v>
      </c>
      <c r="F103" s="592">
        <v>22</v>
      </c>
      <c r="G103" s="594">
        <v>0</v>
      </c>
      <c r="H103" s="592">
        <v>1</v>
      </c>
      <c r="I103" s="592">
        <v>1</v>
      </c>
      <c r="J103" s="592">
        <v>0</v>
      </c>
      <c r="K103" s="592">
        <v>0</v>
      </c>
      <c r="L103" s="592">
        <v>0</v>
      </c>
      <c r="M103" s="592">
        <v>0</v>
      </c>
      <c r="N103" s="592">
        <v>0</v>
      </c>
      <c r="O103" s="592">
        <v>0</v>
      </c>
      <c r="P103" s="595">
        <f t="shared" si="3"/>
        <v>2</v>
      </c>
    </row>
    <row r="104" spans="1:16">
      <c r="A104" s="590">
        <v>99</v>
      </c>
      <c r="B104" s="591" t="s">
        <v>677</v>
      </c>
      <c r="C104" s="592" t="s">
        <v>579</v>
      </c>
      <c r="D104" s="593">
        <v>0</v>
      </c>
      <c r="E104" s="592">
        <v>2</v>
      </c>
      <c r="F104" s="592">
        <v>22</v>
      </c>
      <c r="G104" s="594">
        <v>0</v>
      </c>
      <c r="H104" s="592">
        <v>5</v>
      </c>
      <c r="I104" s="592">
        <v>28</v>
      </c>
      <c r="J104" s="592">
        <v>1</v>
      </c>
      <c r="K104" s="592">
        <v>6</v>
      </c>
      <c r="L104" s="592">
        <v>1</v>
      </c>
      <c r="M104" s="592">
        <v>0</v>
      </c>
      <c r="N104" s="592">
        <v>1</v>
      </c>
      <c r="O104" s="592">
        <v>0</v>
      </c>
      <c r="P104" s="595">
        <f t="shared" si="3"/>
        <v>42</v>
      </c>
    </row>
    <row r="105" spans="1:16">
      <c r="A105" s="590">
        <v>100</v>
      </c>
      <c r="B105" s="591" t="s">
        <v>678</v>
      </c>
      <c r="C105" s="592" t="s">
        <v>579</v>
      </c>
      <c r="D105" s="593">
        <v>0</v>
      </c>
      <c r="E105" s="592">
        <v>2</v>
      </c>
      <c r="F105" s="592">
        <v>22</v>
      </c>
      <c r="G105" s="594">
        <v>0</v>
      </c>
      <c r="H105" s="592">
        <v>1</v>
      </c>
      <c r="I105" s="592">
        <v>1</v>
      </c>
      <c r="J105" s="592">
        <v>0</v>
      </c>
      <c r="K105" s="592">
        <v>0</v>
      </c>
      <c r="L105" s="592">
        <v>0</v>
      </c>
      <c r="M105" s="592">
        <v>0</v>
      </c>
      <c r="N105" s="592">
        <v>0</v>
      </c>
      <c r="O105" s="592">
        <v>0</v>
      </c>
      <c r="P105" s="595">
        <f t="shared" si="3"/>
        <v>2</v>
      </c>
    </row>
    <row r="106" spans="1:16">
      <c r="A106" s="590">
        <v>101</v>
      </c>
      <c r="B106" s="591" t="s">
        <v>679</v>
      </c>
      <c r="C106" s="592" t="s">
        <v>579</v>
      </c>
      <c r="D106" s="593">
        <v>0</v>
      </c>
      <c r="E106" s="592">
        <v>2</v>
      </c>
      <c r="F106" s="592">
        <v>22</v>
      </c>
      <c r="G106" s="594">
        <v>0</v>
      </c>
      <c r="H106" s="592">
        <v>1</v>
      </c>
      <c r="I106" s="592">
        <v>2</v>
      </c>
      <c r="J106" s="592">
        <v>0</v>
      </c>
      <c r="K106" s="592">
        <v>0</v>
      </c>
      <c r="L106" s="592">
        <v>0</v>
      </c>
      <c r="M106" s="592">
        <v>0</v>
      </c>
      <c r="N106" s="592">
        <v>0</v>
      </c>
      <c r="O106" s="592">
        <v>0</v>
      </c>
      <c r="P106" s="595">
        <f t="shared" si="3"/>
        <v>3</v>
      </c>
    </row>
    <row r="107" spans="1:16">
      <c r="A107" s="590">
        <v>102</v>
      </c>
      <c r="B107" s="591" t="s">
        <v>680</v>
      </c>
      <c r="C107" s="592" t="s">
        <v>579</v>
      </c>
      <c r="D107" s="593">
        <v>0</v>
      </c>
      <c r="E107" s="592">
        <v>2</v>
      </c>
      <c r="F107" s="592">
        <v>22</v>
      </c>
      <c r="G107" s="594">
        <v>0</v>
      </c>
      <c r="H107" s="592">
        <v>1</v>
      </c>
      <c r="I107" s="592">
        <v>2</v>
      </c>
      <c r="J107" s="592">
        <v>0</v>
      </c>
      <c r="K107" s="592">
        <v>0</v>
      </c>
      <c r="L107" s="592">
        <v>0</v>
      </c>
      <c r="M107" s="592">
        <v>0</v>
      </c>
      <c r="N107" s="592">
        <v>0</v>
      </c>
      <c r="O107" s="592">
        <v>0</v>
      </c>
      <c r="P107" s="595">
        <f t="shared" si="3"/>
        <v>3</v>
      </c>
    </row>
    <row r="108" spans="1:16">
      <c r="A108" s="590">
        <v>103</v>
      </c>
      <c r="B108" s="591" t="s">
        <v>681</v>
      </c>
      <c r="C108" s="592" t="s">
        <v>579</v>
      </c>
      <c r="D108" s="593">
        <v>0</v>
      </c>
      <c r="E108" s="592">
        <v>2</v>
      </c>
      <c r="F108" s="592">
        <v>22</v>
      </c>
      <c r="G108" s="594">
        <v>0</v>
      </c>
      <c r="H108" s="592">
        <v>0</v>
      </c>
      <c r="I108" s="592">
        <v>0</v>
      </c>
      <c r="J108" s="592">
        <v>0</v>
      </c>
      <c r="K108" s="592">
        <v>0</v>
      </c>
      <c r="L108" s="592">
        <v>0</v>
      </c>
      <c r="M108" s="592">
        <v>0</v>
      </c>
      <c r="N108" s="592">
        <v>0</v>
      </c>
      <c r="O108" s="592">
        <v>0</v>
      </c>
      <c r="P108" s="595">
        <f t="shared" si="3"/>
        <v>0</v>
      </c>
    </row>
    <row r="109" spans="1:16">
      <c r="A109" s="590">
        <v>104</v>
      </c>
      <c r="B109" s="591" t="s">
        <v>682</v>
      </c>
      <c r="C109" s="592" t="s">
        <v>579</v>
      </c>
      <c r="D109" s="593">
        <v>0</v>
      </c>
      <c r="E109" s="592">
        <v>2</v>
      </c>
      <c r="F109" s="592">
        <v>22</v>
      </c>
      <c r="G109" s="594">
        <v>0</v>
      </c>
      <c r="H109" s="592">
        <v>5</v>
      </c>
      <c r="I109" s="592">
        <v>8</v>
      </c>
      <c r="J109" s="592">
        <v>1</v>
      </c>
      <c r="K109" s="592">
        <v>3</v>
      </c>
      <c r="L109" s="592">
        <v>1</v>
      </c>
      <c r="M109" s="592">
        <v>0</v>
      </c>
      <c r="N109" s="592">
        <v>1</v>
      </c>
      <c r="O109" s="592">
        <v>0</v>
      </c>
      <c r="P109" s="595">
        <f t="shared" si="3"/>
        <v>19</v>
      </c>
    </row>
    <row r="110" spans="1:16">
      <c r="A110" s="590">
        <v>105</v>
      </c>
      <c r="B110" s="591" t="s">
        <v>683</v>
      </c>
      <c r="C110" s="592" t="s">
        <v>579</v>
      </c>
      <c r="D110" s="593">
        <v>0</v>
      </c>
      <c r="E110" s="592">
        <v>2</v>
      </c>
      <c r="F110" s="592">
        <v>22</v>
      </c>
      <c r="G110" s="594">
        <v>0</v>
      </c>
      <c r="H110" s="592">
        <v>1</v>
      </c>
      <c r="I110" s="592">
        <v>2</v>
      </c>
      <c r="J110" s="592">
        <v>0</v>
      </c>
      <c r="K110" s="592">
        <v>0</v>
      </c>
      <c r="L110" s="592">
        <v>0</v>
      </c>
      <c r="M110" s="592">
        <v>0</v>
      </c>
      <c r="N110" s="592">
        <v>0</v>
      </c>
      <c r="O110" s="592">
        <v>0</v>
      </c>
      <c r="P110" s="595">
        <f t="shared" si="3"/>
        <v>3</v>
      </c>
    </row>
    <row r="111" spans="1:16">
      <c r="A111" s="590">
        <v>106</v>
      </c>
      <c r="B111" s="591" t="s">
        <v>684</v>
      </c>
      <c r="C111" s="592" t="s">
        <v>579</v>
      </c>
      <c r="D111" s="593">
        <v>0</v>
      </c>
      <c r="E111" s="592">
        <v>2</v>
      </c>
      <c r="F111" s="592">
        <v>22</v>
      </c>
      <c r="G111" s="594">
        <v>0</v>
      </c>
      <c r="H111" s="592">
        <v>1</v>
      </c>
      <c r="I111" s="592">
        <v>1</v>
      </c>
      <c r="J111" s="592">
        <v>0</v>
      </c>
      <c r="K111" s="592">
        <v>0</v>
      </c>
      <c r="L111" s="592">
        <v>0</v>
      </c>
      <c r="M111" s="592">
        <v>0</v>
      </c>
      <c r="N111" s="592">
        <v>0</v>
      </c>
      <c r="O111" s="592">
        <v>0</v>
      </c>
      <c r="P111" s="595">
        <f t="shared" si="3"/>
        <v>2</v>
      </c>
    </row>
    <row r="112" spans="1:16">
      <c r="A112" s="590">
        <v>107</v>
      </c>
      <c r="B112" s="591" t="s">
        <v>685</v>
      </c>
      <c r="C112" s="592" t="s">
        <v>579</v>
      </c>
      <c r="D112" s="593">
        <v>0</v>
      </c>
      <c r="E112" s="592">
        <v>2</v>
      </c>
      <c r="F112" s="592">
        <v>22</v>
      </c>
      <c r="G112" s="594">
        <v>0</v>
      </c>
      <c r="H112" s="592">
        <v>0</v>
      </c>
      <c r="I112" s="592">
        <v>0</v>
      </c>
      <c r="J112" s="592">
        <v>0</v>
      </c>
      <c r="K112" s="592">
        <v>0</v>
      </c>
      <c r="L112" s="592">
        <v>0</v>
      </c>
      <c r="M112" s="592">
        <v>0</v>
      </c>
      <c r="N112" s="592">
        <v>0</v>
      </c>
      <c r="O112" s="592">
        <v>0</v>
      </c>
      <c r="P112" s="595">
        <f t="shared" si="3"/>
        <v>0</v>
      </c>
    </row>
    <row r="113" spans="1:16">
      <c r="A113" s="590">
        <v>108</v>
      </c>
      <c r="B113" s="591" t="s">
        <v>686</v>
      </c>
      <c r="C113" s="592" t="s">
        <v>579</v>
      </c>
      <c r="D113" s="593">
        <v>0</v>
      </c>
      <c r="E113" s="592">
        <v>2</v>
      </c>
      <c r="F113" s="592">
        <v>22</v>
      </c>
      <c r="G113" s="594">
        <v>0</v>
      </c>
      <c r="H113" s="592">
        <v>1</v>
      </c>
      <c r="I113" s="592">
        <v>2</v>
      </c>
      <c r="J113" s="592">
        <v>0</v>
      </c>
      <c r="K113" s="592">
        <v>0</v>
      </c>
      <c r="L113" s="592">
        <v>0</v>
      </c>
      <c r="M113" s="592">
        <v>0</v>
      </c>
      <c r="N113" s="592">
        <v>0</v>
      </c>
      <c r="O113" s="592">
        <v>0</v>
      </c>
      <c r="P113" s="595">
        <f t="shared" si="3"/>
        <v>3</v>
      </c>
    </row>
    <row r="114" spans="1:16">
      <c r="A114" s="590">
        <v>109</v>
      </c>
      <c r="B114" s="591" t="s">
        <v>687</v>
      </c>
      <c r="C114" s="592" t="s">
        <v>579</v>
      </c>
      <c r="D114" s="593">
        <v>0</v>
      </c>
      <c r="E114" s="592">
        <v>2</v>
      </c>
      <c r="F114" s="592">
        <v>22</v>
      </c>
      <c r="G114" s="594">
        <v>0</v>
      </c>
      <c r="H114" s="592">
        <v>1</v>
      </c>
      <c r="I114" s="592">
        <v>1</v>
      </c>
      <c r="J114" s="592">
        <v>0</v>
      </c>
      <c r="K114" s="592">
        <v>0</v>
      </c>
      <c r="L114" s="592">
        <v>0</v>
      </c>
      <c r="M114" s="592">
        <v>0</v>
      </c>
      <c r="N114" s="592">
        <v>0</v>
      </c>
      <c r="O114" s="592">
        <v>0</v>
      </c>
      <c r="P114" s="595">
        <f t="shared" si="3"/>
        <v>2</v>
      </c>
    </row>
    <row r="115" spans="1:16">
      <c r="A115" s="590">
        <v>110</v>
      </c>
      <c r="B115" s="591" t="s">
        <v>688</v>
      </c>
      <c r="C115" s="592" t="s">
        <v>579</v>
      </c>
      <c r="D115" s="593">
        <v>0</v>
      </c>
      <c r="E115" s="592">
        <v>2</v>
      </c>
      <c r="F115" s="592">
        <v>22</v>
      </c>
      <c r="G115" s="594">
        <v>0</v>
      </c>
      <c r="H115" s="592">
        <v>0</v>
      </c>
      <c r="I115" s="592">
        <v>0</v>
      </c>
      <c r="J115" s="592">
        <v>0</v>
      </c>
      <c r="K115" s="592">
        <v>0</v>
      </c>
      <c r="L115" s="592">
        <v>0</v>
      </c>
      <c r="M115" s="592">
        <v>0</v>
      </c>
      <c r="N115" s="592">
        <v>0</v>
      </c>
      <c r="O115" s="592">
        <v>0</v>
      </c>
      <c r="P115" s="595">
        <f t="shared" si="3"/>
        <v>0</v>
      </c>
    </row>
    <row r="116" spans="1:16">
      <c r="A116" s="590">
        <v>111</v>
      </c>
      <c r="B116" s="591" t="s">
        <v>689</v>
      </c>
      <c r="C116" s="592" t="s">
        <v>579</v>
      </c>
      <c r="D116" s="593">
        <v>0</v>
      </c>
      <c r="E116" s="592">
        <v>2</v>
      </c>
      <c r="F116" s="592">
        <v>22</v>
      </c>
      <c r="G116" s="594">
        <v>0</v>
      </c>
      <c r="H116" s="592">
        <v>1</v>
      </c>
      <c r="I116" s="592">
        <v>1</v>
      </c>
      <c r="J116" s="592">
        <v>0</v>
      </c>
      <c r="K116" s="592">
        <v>0</v>
      </c>
      <c r="L116" s="592">
        <v>0</v>
      </c>
      <c r="M116" s="592">
        <v>0</v>
      </c>
      <c r="N116" s="592">
        <v>0</v>
      </c>
      <c r="O116" s="592">
        <v>0</v>
      </c>
      <c r="P116" s="595">
        <f t="shared" si="3"/>
        <v>2</v>
      </c>
    </row>
    <row r="117" spans="1:16">
      <c r="A117" s="590">
        <v>112</v>
      </c>
      <c r="B117" s="591" t="s">
        <v>690</v>
      </c>
      <c r="C117" s="592" t="s">
        <v>579</v>
      </c>
      <c r="D117" s="593">
        <v>0</v>
      </c>
      <c r="E117" s="592">
        <v>2</v>
      </c>
      <c r="F117" s="592">
        <v>22</v>
      </c>
      <c r="G117" s="594">
        <v>0</v>
      </c>
      <c r="H117" s="592">
        <v>0</v>
      </c>
      <c r="I117" s="592">
        <v>0</v>
      </c>
      <c r="J117" s="592">
        <v>0</v>
      </c>
      <c r="K117" s="592">
        <v>0</v>
      </c>
      <c r="L117" s="592">
        <v>0</v>
      </c>
      <c r="M117" s="592">
        <v>0</v>
      </c>
      <c r="N117" s="592">
        <v>0</v>
      </c>
      <c r="O117" s="592">
        <v>0</v>
      </c>
      <c r="P117" s="595">
        <f t="shared" si="3"/>
        <v>0</v>
      </c>
    </row>
    <row r="118" spans="1:16">
      <c r="A118" s="590">
        <v>113</v>
      </c>
      <c r="B118" s="591" t="s">
        <v>691</v>
      </c>
      <c r="C118" s="592" t="s">
        <v>579</v>
      </c>
      <c r="D118" s="593">
        <v>0</v>
      </c>
      <c r="E118" s="592">
        <v>2</v>
      </c>
      <c r="F118" s="592">
        <v>22</v>
      </c>
      <c r="G118" s="594">
        <v>0</v>
      </c>
      <c r="H118" s="592">
        <v>0</v>
      </c>
      <c r="I118" s="592">
        <v>0</v>
      </c>
      <c r="J118" s="592">
        <v>0</v>
      </c>
      <c r="K118" s="592">
        <v>0</v>
      </c>
      <c r="L118" s="592">
        <v>0</v>
      </c>
      <c r="M118" s="592">
        <v>0</v>
      </c>
      <c r="N118" s="592">
        <v>0</v>
      </c>
      <c r="O118" s="592">
        <v>0</v>
      </c>
      <c r="P118" s="595">
        <f t="shared" si="3"/>
        <v>0</v>
      </c>
    </row>
    <row r="119" spans="1:16">
      <c r="A119" s="590">
        <v>114</v>
      </c>
      <c r="B119" s="591" t="s">
        <v>692</v>
      </c>
      <c r="C119" s="592" t="s">
        <v>579</v>
      </c>
      <c r="D119" s="593">
        <v>0</v>
      </c>
      <c r="E119" s="592">
        <v>2</v>
      </c>
      <c r="F119" s="592">
        <v>22</v>
      </c>
      <c r="G119" s="594">
        <v>0</v>
      </c>
      <c r="H119" s="592">
        <v>1</v>
      </c>
      <c r="I119" s="592">
        <v>1</v>
      </c>
      <c r="J119" s="592">
        <v>0</v>
      </c>
      <c r="K119" s="592">
        <v>0</v>
      </c>
      <c r="L119" s="592">
        <v>0</v>
      </c>
      <c r="M119" s="592">
        <v>0</v>
      </c>
      <c r="N119" s="592">
        <v>0</v>
      </c>
      <c r="O119" s="592">
        <v>0</v>
      </c>
      <c r="P119" s="595">
        <f t="shared" si="3"/>
        <v>2</v>
      </c>
    </row>
    <row r="120" spans="1:16">
      <c r="A120" s="590">
        <v>115</v>
      </c>
      <c r="B120" s="591" t="s">
        <v>693</v>
      </c>
      <c r="C120" s="592" t="s">
        <v>579</v>
      </c>
      <c r="D120" s="593">
        <v>0</v>
      </c>
      <c r="E120" s="592">
        <v>2</v>
      </c>
      <c r="F120" s="592">
        <v>22</v>
      </c>
      <c r="G120" s="594">
        <v>0</v>
      </c>
      <c r="H120" s="592">
        <v>1</v>
      </c>
      <c r="I120" s="592">
        <v>2</v>
      </c>
      <c r="J120" s="592">
        <v>0</v>
      </c>
      <c r="K120" s="592">
        <v>0</v>
      </c>
      <c r="L120" s="592">
        <v>0</v>
      </c>
      <c r="M120" s="592">
        <v>0</v>
      </c>
      <c r="N120" s="592">
        <v>0</v>
      </c>
      <c r="O120" s="592">
        <v>0</v>
      </c>
      <c r="P120" s="595">
        <f t="shared" si="3"/>
        <v>3</v>
      </c>
    </row>
    <row r="121" spans="1:16">
      <c r="A121" s="590">
        <v>116</v>
      </c>
      <c r="B121" s="591" t="s">
        <v>694</v>
      </c>
      <c r="C121" s="592" t="s">
        <v>579</v>
      </c>
      <c r="D121" s="593">
        <v>0</v>
      </c>
      <c r="E121" s="592">
        <v>2</v>
      </c>
      <c r="F121" s="592">
        <v>22</v>
      </c>
      <c r="G121" s="594">
        <v>0</v>
      </c>
      <c r="H121" s="592">
        <v>1</v>
      </c>
      <c r="I121" s="592">
        <v>1</v>
      </c>
      <c r="J121" s="592">
        <v>0</v>
      </c>
      <c r="K121" s="592">
        <v>0</v>
      </c>
      <c r="L121" s="592">
        <v>0</v>
      </c>
      <c r="M121" s="592">
        <v>0</v>
      </c>
      <c r="N121" s="592">
        <v>0</v>
      </c>
      <c r="O121" s="592">
        <v>0</v>
      </c>
      <c r="P121" s="595">
        <f t="shared" si="3"/>
        <v>2</v>
      </c>
    </row>
    <row r="122" spans="1:16">
      <c r="A122" s="590">
        <v>117</v>
      </c>
      <c r="B122" s="591" t="s">
        <v>695</v>
      </c>
      <c r="C122" s="592" t="s">
        <v>579</v>
      </c>
      <c r="D122" s="593">
        <v>0</v>
      </c>
      <c r="E122" s="592">
        <v>2</v>
      </c>
      <c r="F122" s="592">
        <v>22</v>
      </c>
      <c r="G122" s="594">
        <v>0</v>
      </c>
      <c r="H122" s="592">
        <v>1</v>
      </c>
      <c r="I122" s="592">
        <v>2</v>
      </c>
      <c r="J122" s="592">
        <v>0</v>
      </c>
      <c r="K122" s="592">
        <v>0</v>
      </c>
      <c r="L122" s="592">
        <v>0</v>
      </c>
      <c r="M122" s="592">
        <v>0</v>
      </c>
      <c r="N122" s="592">
        <v>0</v>
      </c>
      <c r="O122" s="592">
        <v>0</v>
      </c>
      <c r="P122" s="595">
        <f t="shared" si="3"/>
        <v>3</v>
      </c>
    </row>
    <row r="123" spans="1:16">
      <c r="A123" s="590">
        <v>118</v>
      </c>
      <c r="B123" s="591" t="s">
        <v>696</v>
      </c>
      <c r="C123" s="592" t="s">
        <v>579</v>
      </c>
      <c r="D123" s="593">
        <v>0</v>
      </c>
      <c r="E123" s="592">
        <v>2</v>
      </c>
      <c r="F123" s="592">
        <v>22</v>
      </c>
      <c r="G123" s="594">
        <v>0</v>
      </c>
      <c r="H123" s="592">
        <v>0</v>
      </c>
      <c r="I123" s="592">
        <v>0</v>
      </c>
      <c r="J123" s="592">
        <v>0</v>
      </c>
      <c r="K123" s="592">
        <v>0</v>
      </c>
      <c r="L123" s="592">
        <v>0</v>
      </c>
      <c r="M123" s="592">
        <v>0</v>
      </c>
      <c r="N123" s="592">
        <v>0</v>
      </c>
      <c r="O123" s="592">
        <v>0</v>
      </c>
      <c r="P123" s="595">
        <f t="shared" si="3"/>
        <v>0</v>
      </c>
    </row>
    <row r="124" spans="1:16">
      <c r="A124" s="590">
        <v>119</v>
      </c>
      <c r="B124" s="591" t="s">
        <v>697</v>
      </c>
      <c r="C124" s="592" t="s">
        <v>579</v>
      </c>
      <c r="D124" s="593">
        <v>0</v>
      </c>
      <c r="E124" s="592">
        <v>2</v>
      </c>
      <c r="F124" s="592">
        <v>22</v>
      </c>
      <c r="G124" s="594">
        <v>0</v>
      </c>
      <c r="H124" s="592">
        <v>0</v>
      </c>
      <c r="I124" s="592">
        <v>0</v>
      </c>
      <c r="J124" s="592">
        <v>0</v>
      </c>
      <c r="K124" s="592">
        <v>0</v>
      </c>
      <c r="L124" s="592">
        <v>0</v>
      </c>
      <c r="M124" s="592">
        <v>0</v>
      </c>
      <c r="N124" s="592">
        <v>0</v>
      </c>
      <c r="O124" s="592">
        <v>0</v>
      </c>
      <c r="P124" s="595">
        <f t="shared" si="3"/>
        <v>0</v>
      </c>
    </row>
    <row r="125" spans="1:16">
      <c r="A125" s="590">
        <v>120</v>
      </c>
      <c r="B125" s="591" t="s">
        <v>698</v>
      </c>
      <c r="C125" s="592" t="s">
        <v>579</v>
      </c>
      <c r="D125" s="593">
        <v>0</v>
      </c>
      <c r="E125" s="592">
        <v>2</v>
      </c>
      <c r="F125" s="592">
        <v>22</v>
      </c>
      <c r="G125" s="594">
        <v>0</v>
      </c>
      <c r="H125" s="592">
        <v>1</v>
      </c>
      <c r="I125" s="592">
        <v>1</v>
      </c>
      <c r="J125" s="592">
        <v>0</v>
      </c>
      <c r="K125" s="592">
        <v>0</v>
      </c>
      <c r="L125" s="592">
        <v>0</v>
      </c>
      <c r="M125" s="592">
        <v>0</v>
      </c>
      <c r="N125" s="592">
        <v>0</v>
      </c>
      <c r="O125" s="592">
        <v>0</v>
      </c>
      <c r="P125" s="595">
        <f t="shared" si="3"/>
        <v>2</v>
      </c>
    </row>
    <row r="126" spans="1:16">
      <c r="A126" s="590">
        <v>121</v>
      </c>
      <c r="B126" s="591" t="s">
        <v>699</v>
      </c>
      <c r="C126" s="592" t="s">
        <v>579</v>
      </c>
      <c r="D126" s="593">
        <v>0</v>
      </c>
      <c r="E126" s="592">
        <v>2</v>
      </c>
      <c r="F126" s="592">
        <v>22</v>
      </c>
      <c r="G126" s="594">
        <v>0</v>
      </c>
      <c r="H126" s="592">
        <v>1</v>
      </c>
      <c r="I126" s="592">
        <v>1</v>
      </c>
      <c r="J126" s="592">
        <v>0</v>
      </c>
      <c r="K126" s="592">
        <v>0</v>
      </c>
      <c r="L126" s="592">
        <v>0</v>
      </c>
      <c r="M126" s="592">
        <v>0</v>
      </c>
      <c r="N126" s="592">
        <v>0</v>
      </c>
      <c r="O126" s="592">
        <v>0</v>
      </c>
      <c r="P126" s="595">
        <f t="shared" si="3"/>
        <v>2</v>
      </c>
    </row>
    <row r="127" spans="1:16">
      <c r="A127" s="590">
        <v>122</v>
      </c>
      <c r="B127" s="591" t="s">
        <v>700</v>
      </c>
      <c r="C127" s="592" t="s">
        <v>579</v>
      </c>
      <c r="D127" s="593">
        <v>0</v>
      </c>
      <c r="E127" s="592">
        <v>2</v>
      </c>
      <c r="F127" s="592">
        <v>22</v>
      </c>
      <c r="G127" s="594">
        <v>0</v>
      </c>
      <c r="H127" s="592">
        <v>1</v>
      </c>
      <c r="I127" s="592">
        <v>1</v>
      </c>
      <c r="J127" s="592">
        <v>0</v>
      </c>
      <c r="K127" s="592">
        <v>0</v>
      </c>
      <c r="L127" s="592">
        <v>0</v>
      </c>
      <c r="M127" s="592">
        <v>0</v>
      </c>
      <c r="N127" s="592">
        <v>0</v>
      </c>
      <c r="O127" s="592">
        <v>0</v>
      </c>
      <c r="P127" s="595">
        <f t="shared" si="3"/>
        <v>2</v>
      </c>
    </row>
    <row r="128" spans="1:16">
      <c r="A128" s="590">
        <v>123</v>
      </c>
      <c r="B128" s="591" t="s">
        <v>701</v>
      </c>
      <c r="C128" s="592" t="s">
        <v>579</v>
      </c>
      <c r="D128" s="593">
        <v>0</v>
      </c>
      <c r="E128" s="592">
        <v>2</v>
      </c>
      <c r="F128" s="592">
        <v>22</v>
      </c>
      <c r="G128" s="594">
        <v>0</v>
      </c>
      <c r="H128" s="592">
        <v>1</v>
      </c>
      <c r="I128" s="592">
        <v>2</v>
      </c>
      <c r="J128" s="592">
        <v>0</v>
      </c>
      <c r="K128" s="592">
        <v>0</v>
      </c>
      <c r="L128" s="592">
        <v>0</v>
      </c>
      <c r="M128" s="592">
        <v>0</v>
      </c>
      <c r="N128" s="592">
        <v>0</v>
      </c>
      <c r="O128" s="592">
        <v>0</v>
      </c>
      <c r="P128" s="595">
        <f t="shared" si="3"/>
        <v>3</v>
      </c>
    </row>
    <row r="129" spans="1:16">
      <c r="A129" s="590">
        <v>124</v>
      </c>
      <c r="B129" s="591" t="s">
        <v>702</v>
      </c>
      <c r="C129" s="592" t="s">
        <v>579</v>
      </c>
      <c r="D129" s="593">
        <v>0</v>
      </c>
      <c r="E129" s="592">
        <v>2</v>
      </c>
      <c r="F129" s="592">
        <v>22</v>
      </c>
      <c r="G129" s="594">
        <v>0</v>
      </c>
      <c r="H129" s="592">
        <v>1</v>
      </c>
      <c r="I129" s="592">
        <v>1</v>
      </c>
      <c r="J129" s="592">
        <v>0</v>
      </c>
      <c r="K129" s="592">
        <v>0</v>
      </c>
      <c r="L129" s="592">
        <v>0</v>
      </c>
      <c r="M129" s="592">
        <v>0</v>
      </c>
      <c r="N129" s="592">
        <v>0</v>
      </c>
      <c r="O129" s="592">
        <v>0</v>
      </c>
      <c r="P129" s="595">
        <f t="shared" si="3"/>
        <v>2</v>
      </c>
    </row>
    <row r="130" spans="1:16">
      <c r="A130" s="590">
        <v>125</v>
      </c>
      <c r="B130" s="591" t="s">
        <v>703</v>
      </c>
      <c r="C130" s="592" t="s">
        <v>579</v>
      </c>
      <c r="D130" s="593">
        <v>0</v>
      </c>
      <c r="E130" s="592">
        <v>2</v>
      </c>
      <c r="F130" s="592">
        <v>22</v>
      </c>
      <c r="G130" s="594">
        <v>0</v>
      </c>
      <c r="H130" s="592">
        <v>1</v>
      </c>
      <c r="I130" s="592">
        <v>1</v>
      </c>
      <c r="J130" s="592">
        <v>0</v>
      </c>
      <c r="K130" s="592">
        <v>0</v>
      </c>
      <c r="L130" s="592">
        <v>0</v>
      </c>
      <c r="M130" s="592">
        <v>0</v>
      </c>
      <c r="N130" s="592">
        <v>0</v>
      </c>
      <c r="O130" s="592">
        <v>0</v>
      </c>
      <c r="P130" s="595">
        <f t="shared" si="3"/>
        <v>2</v>
      </c>
    </row>
    <row r="131" spans="1:16">
      <c r="A131" s="590">
        <v>126</v>
      </c>
      <c r="B131" s="591" t="s">
        <v>704</v>
      </c>
      <c r="C131" s="592" t="s">
        <v>579</v>
      </c>
      <c r="D131" s="593">
        <v>0</v>
      </c>
      <c r="E131" s="592">
        <v>2</v>
      </c>
      <c r="F131" s="592">
        <v>22</v>
      </c>
      <c r="G131" s="594">
        <v>0</v>
      </c>
      <c r="H131" s="592">
        <v>0</v>
      </c>
      <c r="I131" s="592">
        <v>0</v>
      </c>
      <c r="J131" s="592">
        <v>0</v>
      </c>
      <c r="K131" s="592">
        <v>0</v>
      </c>
      <c r="L131" s="592">
        <v>0</v>
      </c>
      <c r="M131" s="592">
        <v>0</v>
      </c>
      <c r="N131" s="592">
        <v>0</v>
      </c>
      <c r="O131" s="592">
        <v>0</v>
      </c>
      <c r="P131" s="595">
        <f t="shared" si="3"/>
        <v>0</v>
      </c>
    </row>
    <row r="132" spans="1:16">
      <c r="A132" s="590">
        <v>127</v>
      </c>
      <c r="B132" s="591" t="s">
        <v>705</v>
      </c>
      <c r="C132" s="592" t="s">
        <v>579</v>
      </c>
      <c r="D132" s="593">
        <v>0</v>
      </c>
      <c r="E132" s="592">
        <v>2</v>
      </c>
      <c r="F132" s="592">
        <v>22</v>
      </c>
      <c r="G132" s="594">
        <v>0</v>
      </c>
      <c r="H132" s="592">
        <v>1</v>
      </c>
      <c r="I132" s="592">
        <v>2</v>
      </c>
      <c r="J132" s="592">
        <v>0</v>
      </c>
      <c r="K132" s="592">
        <v>0</v>
      </c>
      <c r="L132" s="592">
        <v>0</v>
      </c>
      <c r="M132" s="592">
        <v>0</v>
      </c>
      <c r="N132" s="592">
        <v>0</v>
      </c>
      <c r="O132" s="592">
        <v>0</v>
      </c>
      <c r="P132" s="595">
        <f t="shared" si="3"/>
        <v>3</v>
      </c>
    </row>
    <row r="133" spans="1:16">
      <c r="A133" s="590">
        <v>128</v>
      </c>
      <c r="B133" s="591" t="s">
        <v>706</v>
      </c>
      <c r="C133" s="592" t="s">
        <v>579</v>
      </c>
      <c r="D133" s="593">
        <v>0</v>
      </c>
      <c r="E133" s="592">
        <v>2</v>
      </c>
      <c r="F133" s="592">
        <v>22</v>
      </c>
      <c r="G133" s="594">
        <v>0</v>
      </c>
      <c r="H133" s="592">
        <v>1</v>
      </c>
      <c r="I133" s="592">
        <v>2</v>
      </c>
      <c r="J133" s="592">
        <v>0</v>
      </c>
      <c r="K133" s="592">
        <v>0</v>
      </c>
      <c r="L133" s="592">
        <v>0</v>
      </c>
      <c r="M133" s="592">
        <v>0</v>
      </c>
      <c r="N133" s="592">
        <v>0</v>
      </c>
      <c r="O133" s="592">
        <v>0</v>
      </c>
      <c r="P133" s="595">
        <f t="shared" si="3"/>
        <v>3</v>
      </c>
    </row>
    <row r="134" spans="1:16">
      <c r="A134" s="590">
        <v>129</v>
      </c>
      <c r="B134" s="591" t="s">
        <v>707</v>
      </c>
      <c r="C134" s="592" t="s">
        <v>579</v>
      </c>
      <c r="D134" s="593">
        <v>0</v>
      </c>
      <c r="E134" s="592">
        <v>2</v>
      </c>
      <c r="F134" s="592">
        <v>22</v>
      </c>
      <c r="G134" s="594">
        <v>0</v>
      </c>
      <c r="H134" s="592">
        <v>1</v>
      </c>
      <c r="I134" s="592">
        <v>1</v>
      </c>
      <c r="J134" s="592">
        <v>0</v>
      </c>
      <c r="K134" s="592">
        <v>0</v>
      </c>
      <c r="L134" s="592">
        <v>0</v>
      </c>
      <c r="M134" s="592">
        <v>0</v>
      </c>
      <c r="N134" s="592">
        <v>0</v>
      </c>
      <c r="O134" s="592">
        <v>0</v>
      </c>
      <c r="P134" s="595">
        <f t="shared" ref="P134:P165" si="4">SUM(H134:O134)</f>
        <v>2</v>
      </c>
    </row>
    <row r="135" spans="1:16">
      <c r="A135" s="590">
        <v>130</v>
      </c>
      <c r="B135" s="591" t="s">
        <v>708</v>
      </c>
      <c r="C135" s="592" t="s">
        <v>579</v>
      </c>
      <c r="D135" s="593">
        <v>0</v>
      </c>
      <c r="E135" s="592">
        <v>2</v>
      </c>
      <c r="F135" s="592">
        <v>22</v>
      </c>
      <c r="G135" s="594">
        <v>0</v>
      </c>
      <c r="H135" s="592">
        <v>0</v>
      </c>
      <c r="I135" s="592">
        <v>0</v>
      </c>
      <c r="J135" s="592">
        <v>0</v>
      </c>
      <c r="K135" s="592">
        <v>0</v>
      </c>
      <c r="L135" s="592">
        <v>0</v>
      </c>
      <c r="M135" s="592">
        <v>0</v>
      </c>
      <c r="N135" s="592">
        <v>0</v>
      </c>
      <c r="O135" s="592">
        <v>0</v>
      </c>
      <c r="P135" s="595">
        <f t="shared" si="4"/>
        <v>0</v>
      </c>
    </row>
    <row r="136" spans="1:16">
      <c r="A136" s="590">
        <v>131</v>
      </c>
      <c r="B136" s="591" t="s">
        <v>709</v>
      </c>
      <c r="C136" s="592" t="s">
        <v>579</v>
      </c>
      <c r="D136" s="593">
        <v>0</v>
      </c>
      <c r="E136" s="592">
        <v>2</v>
      </c>
      <c r="F136" s="592">
        <v>22</v>
      </c>
      <c r="G136" s="594">
        <v>0</v>
      </c>
      <c r="H136" s="592">
        <v>0</v>
      </c>
      <c r="I136" s="592">
        <v>0</v>
      </c>
      <c r="J136" s="592">
        <v>0</v>
      </c>
      <c r="K136" s="592">
        <v>0</v>
      </c>
      <c r="L136" s="592">
        <v>0</v>
      </c>
      <c r="M136" s="592">
        <v>0</v>
      </c>
      <c r="N136" s="592">
        <v>0</v>
      </c>
      <c r="O136" s="592">
        <v>0</v>
      </c>
      <c r="P136" s="595">
        <f t="shared" si="4"/>
        <v>0</v>
      </c>
    </row>
    <row r="137" spans="1:16">
      <c r="A137" s="590">
        <v>132</v>
      </c>
      <c r="B137" s="591" t="s">
        <v>710</v>
      </c>
      <c r="C137" s="592" t="s">
        <v>579</v>
      </c>
      <c r="D137" s="593">
        <v>0</v>
      </c>
      <c r="E137" s="592">
        <v>2</v>
      </c>
      <c r="F137" s="592">
        <v>22</v>
      </c>
      <c r="G137" s="594">
        <v>0</v>
      </c>
      <c r="H137" s="592">
        <v>0</v>
      </c>
      <c r="I137" s="592">
        <v>0</v>
      </c>
      <c r="J137" s="592">
        <v>0</v>
      </c>
      <c r="K137" s="592">
        <v>0</v>
      </c>
      <c r="L137" s="592">
        <v>0</v>
      </c>
      <c r="M137" s="592">
        <v>0</v>
      </c>
      <c r="N137" s="592">
        <v>0</v>
      </c>
      <c r="O137" s="592">
        <v>0</v>
      </c>
      <c r="P137" s="595">
        <f t="shared" si="4"/>
        <v>0</v>
      </c>
    </row>
    <row r="138" spans="1:16">
      <c r="A138" s="590">
        <v>133</v>
      </c>
      <c r="B138" s="591" t="s">
        <v>711</v>
      </c>
      <c r="C138" s="592" t="s">
        <v>579</v>
      </c>
      <c r="D138" s="593">
        <v>0</v>
      </c>
      <c r="E138" s="592">
        <v>2</v>
      </c>
      <c r="F138" s="592">
        <v>22</v>
      </c>
      <c r="G138" s="594">
        <v>0</v>
      </c>
      <c r="H138" s="592">
        <v>1</v>
      </c>
      <c r="I138" s="592">
        <v>1</v>
      </c>
      <c r="J138" s="592">
        <v>0</v>
      </c>
      <c r="K138" s="592">
        <v>0</v>
      </c>
      <c r="L138" s="592">
        <v>0</v>
      </c>
      <c r="M138" s="592">
        <v>0</v>
      </c>
      <c r="N138" s="592">
        <v>0</v>
      </c>
      <c r="O138" s="592">
        <v>0</v>
      </c>
      <c r="P138" s="595">
        <f t="shared" si="4"/>
        <v>2</v>
      </c>
    </row>
    <row r="139" spans="1:16">
      <c r="A139" s="590">
        <v>134</v>
      </c>
      <c r="B139" s="591" t="s">
        <v>712</v>
      </c>
      <c r="C139" s="592" t="s">
        <v>579</v>
      </c>
      <c r="D139" s="593">
        <v>0</v>
      </c>
      <c r="E139" s="592">
        <v>2</v>
      </c>
      <c r="F139" s="592">
        <v>22</v>
      </c>
      <c r="G139" s="594">
        <v>0</v>
      </c>
      <c r="H139" s="592">
        <v>1</v>
      </c>
      <c r="I139" s="592">
        <v>1</v>
      </c>
      <c r="J139" s="592">
        <v>0</v>
      </c>
      <c r="K139" s="592">
        <v>0</v>
      </c>
      <c r="L139" s="592">
        <v>0</v>
      </c>
      <c r="M139" s="592">
        <v>0</v>
      </c>
      <c r="N139" s="592">
        <v>0</v>
      </c>
      <c r="O139" s="592">
        <v>0</v>
      </c>
      <c r="P139" s="595">
        <f t="shared" si="4"/>
        <v>2</v>
      </c>
    </row>
    <row r="140" spans="1:16">
      <c r="A140" s="590">
        <v>135</v>
      </c>
      <c r="B140" s="591" t="s">
        <v>713</v>
      </c>
      <c r="C140" s="592" t="s">
        <v>579</v>
      </c>
      <c r="D140" s="593">
        <v>0</v>
      </c>
      <c r="E140" s="592">
        <v>2</v>
      </c>
      <c r="F140" s="592">
        <v>22</v>
      </c>
      <c r="G140" s="594">
        <v>0</v>
      </c>
      <c r="H140" s="592">
        <v>0</v>
      </c>
      <c r="I140" s="592">
        <v>0</v>
      </c>
      <c r="J140" s="592">
        <v>0</v>
      </c>
      <c r="K140" s="592">
        <v>0</v>
      </c>
      <c r="L140" s="592">
        <v>0</v>
      </c>
      <c r="M140" s="592">
        <v>0</v>
      </c>
      <c r="N140" s="592">
        <v>0</v>
      </c>
      <c r="O140" s="592">
        <v>0</v>
      </c>
      <c r="P140" s="595">
        <f t="shared" si="4"/>
        <v>0</v>
      </c>
    </row>
    <row r="141" spans="1:16">
      <c r="A141" s="590">
        <v>136</v>
      </c>
      <c r="B141" s="591" t="s">
        <v>714</v>
      </c>
      <c r="C141" s="592" t="s">
        <v>579</v>
      </c>
      <c r="D141" s="593">
        <v>0</v>
      </c>
      <c r="E141" s="592">
        <v>2</v>
      </c>
      <c r="F141" s="592">
        <v>22</v>
      </c>
      <c r="G141" s="594">
        <v>0</v>
      </c>
      <c r="H141" s="592">
        <v>0</v>
      </c>
      <c r="I141" s="592">
        <v>0</v>
      </c>
      <c r="J141" s="592">
        <v>0</v>
      </c>
      <c r="K141" s="592">
        <v>0</v>
      </c>
      <c r="L141" s="592">
        <v>0</v>
      </c>
      <c r="M141" s="592">
        <v>0</v>
      </c>
      <c r="N141" s="592">
        <v>0</v>
      </c>
      <c r="O141" s="592">
        <v>0</v>
      </c>
      <c r="P141" s="595">
        <f t="shared" si="4"/>
        <v>0</v>
      </c>
    </row>
    <row r="142" spans="1:16">
      <c r="A142" s="590">
        <v>137</v>
      </c>
      <c r="B142" s="591" t="s">
        <v>715</v>
      </c>
      <c r="C142" s="592" t="s">
        <v>579</v>
      </c>
      <c r="D142" s="593">
        <v>0</v>
      </c>
      <c r="E142" s="592">
        <v>2</v>
      </c>
      <c r="F142" s="592">
        <v>22</v>
      </c>
      <c r="G142" s="594">
        <v>0</v>
      </c>
      <c r="H142" s="592">
        <v>1</v>
      </c>
      <c r="I142" s="592">
        <v>1</v>
      </c>
      <c r="J142" s="592">
        <v>0</v>
      </c>
      <c r="K142" s="592">
        <v>0</v>
      </c>
      <c r="L142" s="592">
        <v>0</v>
      </c>
      <c r="M142" s="592">
        <v>0</v>
      </c>
      <c r="N142" s="592">
        <v>0</v>
      </c>
      <c r="O142" s="592">
        <v>0</v>
      </c>
      <c r="P142" s="595">
        <f t="shared" si="4"/>
        <v>2</v>
      </c>
    </row>
    <row r="143" spans="1:16">
      <c r="A143" s="590">
        <v>138</v>
      </c>
      <c r="B143" s="591" t="s">
        <v>716</v>
      </c>
      <c r="C143" s="592" t="s">
        <v>579</v>
      </c>
      <c r="D143" s="593">
        <v>0</v>
      </c>
      <c r="E143" s="592">
        <v>2</v>
      </c>
      <c r="F143" s="592">
        <v>22</v>
      </c>
      <c r="G143" s="594">
        <v>0</v>
      </c>
      <c r="H143" s="592">
        <v>0</v>
      </c>
      <c r="I143" s="592">
        <v>0</v>
      </c>
      <c r="J143" s="592">
        <v>0</v>
      </c>
      <c r="K143" s="592">
        <v>0</v>
      </c>
      <c r="L143" s="592">
        <v>0</v>
      </c>
      <c r="M143" s="592">
        <v>0</v>
      </c>
      <c r="N143" s="592">
        <v>0</v>
      </c>
      <c r="O143" s="592">
        <v>0</v>
      </c>
      <c r="P143" s="595">
        <f t="shared" si="4"/>
        <v>0</v>
      </c>
    </row>
    <row r="144" spans="1:16">
      <c r="A144" s="590">
        <v>139</v>
      </c>
      <c r="B144" s="591" t="s">
        <v>717</v>
      </c>
      <c r="C144" s="592" t="s">
        <v>579</v>
      </c>
      <c r="D144" s="593">
        <v>0</v>
      </c>
      <c r="E144" s="592">
        <v>2</v>
      </c>
      <c r="F144" s="592">
        <v>22</v>
      </c>
      <c r="G144" s="594">
        <v>0</v>
      </c>
      <c r="H144" s="592">
        <v>1</v>
      </c>
      <c r="I144" s="592">
        <v>1</v>
      </c>
      <c r="J144" s="592">
        <v>0</v>
      </c>
      <c r="K144" s="592">
        <v>0</v>
      </c>
      <c r="L144" s="592">
        <v>0</v>
      </c>
      <c r="M144" s="592">
        <v>0</v>
      </c>
      <c r="N144" s="592">
        <v>0</v>
      </c>
      <c r="O144" s="592">
        <v>0</v>
      </c>
      <c r="P144" s="595">
        <f t="shared" si="4"/>
        <v>2</v>
      </c>
    </row>
    <row r="145" spans="1:16">
      <c r="A145" s="590">
        <v>140</v>
      </c>
      <c r="B145" s="591" t="s">
        <v>718</v>
      </c>
      <c r="C145" s="592" t="s">
        <v>579</v>
      </c>
      <c r="D145" s="593">
        <v>0</v>
      </c>
      <c r="E145" s="592">
        <v>2</v>
      </c>
      <c r="F145" s="592">
        <v>22</v>
      </c>
      <c r="G145" s="594">
        <v>0</v>
      </c>
      <c r="H145" s="592">
        <v>1</v>
      </c>
      <c r="I145" s="592">
        <v>1</v>
      </c>
      <c r="J145" s="592">
        <v>0</v>
      </c>
      <c r="K145" s="592">
        <v>0</v>
      </c>
      <c r="L145" s="592">
        <v>0</v>
      </c>
      <c r="M145" s="592">
        <v>0</v>
      </c>
      <c r="N145" s="592">
        <v>0</v>
      </c>
      <c r="O145" s="592">
        <v>0</v>
      </c>
      <c r="P145" s="595">
        <f t="shared" si="4"/>
        <v>2</v>
      </c>
    </row>
    <row r="146" spans="1:16">
      <c r="A146" s="590">
        <v>141</v>
      </c>
      <c r="B146" s="591" t="s">
        <v>719</v>
      </c>
      <c r="C146" s="592" t="s">
        <v>579</v>
      </c>
      <c r="D146" s="593">
        <v>0</v>
      </c>
      <c r="E146" s="592">
        <v>2</v>
      </c>
      <c r="F146" s="592">
        <v>22</v>
      </c>
      <c r="G146" s="594">
        <v>0</v>
      </c>
      <c r="H146" s="592">
        <v>0</v>
      </c>
      <c r="I146" s="592">
        <v>0</v>
      </c>
      <c r="J146" s="592">
        <v>0</v>
      </c>
      <c r="K146" s="592">
        <v>0</v>
      </c>
      <c r="L146" s="592">
        <v>0</v>
      </c>
      <c r="M146" s="592">
        <v>0</v>
      </c>
      <c r="N146" s="592">
        <v>0</v>
      </c>
      <c r="O146" s="592">
        <v>0</v>
      </c>
      <c r="P146" s="595">
        <f t="shared" si="4"/>
        <v>0</v>
      </c>
    </row>
    <row r="147" spans="1:16">
      <c r="A147" s="590">
        <v>142</v>
      </c>
      <c r="B147" s="591" t="s">
        <v>720</v>
      </c>
      <c r="C147" s="592" t="s">
        <v>579</v>
      </c>
      <c r="D147" s="593">
        <v>0</v>
      </c>
      <c r="E147" s="592">
        <v>2</v>
      </c>
      <c r="F147" s="592">
        <v>22</v>
      </c>
      <c r="G147" s="594">
        <v>0</v>
      </c>
      <c r="H147" s="592">
        <v>0</v>
      </c>
      <c r="I147" s="592">
        <v>0</v>
      </c>
      <c r="J147" s="592">
        <v>0</v>
      </c>
      <c r="K147" s="592">
        <v>0</v>
      </c>
      <c r="L147" s="592">
        <v>0</v>
      </c>
      <c r="M147" s="592">
        <v>0</v>
      </c>
      <c r="N147" s="592">
        <v>0</v>
      </c>
      <c r="O147" s="592">
        <v>0</v>
      </c>
      <c r="P147" s="595">
        <f t="shared" si="4"/>
        <v>0</v>
      </c>
    </row>
    <row r="148" spans="1:16">
      <c r="A148" s="590">
        <v>143</v>
      </c>
      <c r="B148" s="591" t="s">
        <v>721</v>
      </c>
      <c r="C148" s="592" t="s">
        <v>579</v>
      </c>
      <c r="D148" s="593">
        <v>0</v>
      </c>
      <c r="E148" s="592">
        <v>2</v>
      </c>
      <c r="F148" s="592">
        <v>22</v>
      </c>
      <c r="G148" s="594">
        <v>0</v>
      </c>
      <c r="H148" s="592">
        <v>0</v>
      </c>
      <c r="I148" s="592">
        <v>0</v>
      </c>
      <c r="J148" s="592">
        <v>0</v>
      </c>
      <c r="K148" s="592">
        <v>0</v>
      </c>
      <c r="L148" s="592">
        <v>0</v>
      </c>
      <c r="M148" s="592">
        <v>0</v>
      </c>
      <c r="N148" s="592">
        <v>0</v>
      </c>
      <c r="O148" s="592">
        <v>0</v>
      </c>
      <c r="P148" s="595">
        <f t="shared" si="4"/>
        <v>0</v>
      </c>
    </row>
    <row r="149" spans="1:16">
      <c r="A149" s="590">
        <v>144</v>
      </c>
      <c r="B149" s="591" t="s">
        <v>722</v>
      </c>
      <c r="C149" s="592" t="s">
        <v>579</v>
      </c>
      <c r="D149" s="593">
        <v>0</v>
      </c>
      <c r="E149" s="592">
        <v>2</v>
      </c>
      <c r="F149" s="592">
        <v>22</v>
      </c>
      <c r="G149" s="594">
        <v>0</v>
      </c>
      <c r="H149" s="592">
        <v>0</v>
      </c>
      <c r="I149" s="592">
        <v>0</v>
      </c>
      <c r="J149" s="592">
        <v>0</v>
      </c>
      <c r="K149" s="592">
        <v>0</v>
      </c>
      <c r="L149" s="592">
        <v>0</v>
      </c>
      <c r="M149" s="592">
        <v>0</v>
      </c>
      <c r="N149" s="592">
        <v>0</v>
      </c>
      <c r="O149" s="592">
        <v>0</v>
      </c>
      <c r="P149" s="595">
        <f t="shared" si="4"/>
        <v>0</v>
      </c>
    </row>
    <row r="150" spans="1:16">
      <c r="A150" s="590">
        <v>145</v>
      </c>
      <c r="B150" s="591" t="s">
        <v>723</v>
      </c>
      <c r="C150" s="592" t="s">
        <v>579</v>
      </c>
      <c r="D150" s="593">
        <v>0</v>
      </c>
      <c r="E150" s="592">
        <v>2</v>
      </c>
      <c r="F150" s="592">
        <v>22</v>
      </c>
      <c r="G150" s="594">
        <v>0</v>
      </c>
      <c r="H150" s="592">
        <v>0</v>
      </c>
      <c r="I150" s="592">
        <v>0</v>
      </c>
      <c r="J150" s="592">
        <v>0</v>
      </c>
      <c r="K150" s="592">
        <v>0</v>
      </c>
      <c r="L150" s="592">
        <v>0</v>
      </c>
      <c r="M150" s="592">
        <v>0</v>
      </c>
      <c r="N150" s="592">
        <v>0</v>
      </c>
      <c r="O150" s="592">
        <v>0</v>
      </c>
      <c r="P150" s="595">
        <f t="shared" si="4"/>
        <v>0</v>
      </c>
    </row>
    <row r="151" spans="1:16">
      <c r="A151" s="590">
        <v>146</v>
      </c>
      <c r="B151" s="591" t="s">
        <v>724</v>
      </c>
      <c r="C151" s="592" t="s">
        <v>579</v>
      </c>
      <c r="D151" s="593">
        <v>0</v>
      </c>
      <c r="E151" s="592">
        <v>2</v>
      </c>
      <c r="F151" s="592">
        <v>22</v>
      </c>
      <c r="G151" s="594">
        <v>0</v>
      </c>
      <c r="H151" s="592">
        <v>0</v>
      </c>
      <c r="I151" s="592">
        <v>0</v>
      </c>
      <c r="J151" s="592">
        <v>0</v>
      </c>
      <c r="K151" s="592">
        <v>0</v>
      </c>
      <c r="L151" s="592">
        <v>0</v>
      </c>
      <c r="M151" s="592">
        <v>0</v>
      </c>
      <c r="N151" s="592">
        <v>0</v>
      </c>
      <c r="O151" s="592">
        <v>0</v>
      </c>
      <c r="P151" s="595">
        <f t="shared" si="4"/>
        <v>0</v>
      </c>
    </row>
    <row r="152" spans="1:16">
      <c r="A152" s="590">
        <v>147</v>
      </c>
      <c r="B152" s="591" t="s">
        <v>725</v>
      </c>
      <c r="C152" s="592" t="s">
        <v>579</v>
      </c>
      <c r="D152" s="593">
        <v>0</v>
      </c>
      <c r="E152" s="592">
        <v>2</v>
      </c>
      <c r="F152" s="592">
        <v>22</v>
      </c>
      <c r="G152" s="594">
        <v>0</v>
      </c>
      <c r="H152" s="592">
        <v>0</v>
      </c>
      <c r="I152" s="592">
        <v>0</v>
      </c>
      <c r="J152" s="592">
        <v>0</v>
      </c>
      <c r="K152" s="592">
        <v>0</v>
      </c>
      <c r="L152" s="592">
        <v>0</v>
      </c>
      <c r="M152" s="592">
        <v>0</v>
      </c>
      <c r="N152" s="592">
        <v>0</v>
      </c>
      <c r="O152" s="592">
        <v>0</v>
      </c>
      <c r="P152" s="595">
        <f t="shared" si="4"/>
        <v>0</v>
      </c>
    </row>
    <row r="153" spans="1:16">
      <c r="A153" s="590">
        <v>148</v>
      </c>
      <c r="B153" s="591" t="s">
        <v>726</v>
      </c>
      <c r="C153" s="592" t="s">
        <v>579</v>
      </c>
      <c r="D153" s="593">
        <v>0</v>
      </c>
      <c r="E153" s="592">
        <v>2</v>
      </c>
      <c r="F153" s="592">
        <v>22</v>
      </c>
      <c r="G153" s="594">
        <v>0</v>
      </c>
      <c r="H153" s="592">
        <v>0</v>
      </c>
      <c r="I153" s="592">
        <v>0</v>
      </c>
      <c r="J153" s="592">
        <v>0</v>
      </c>
      <c r="K153" s="592">
        <v>0</v>
      </c>
      <c r="L153" s="592">
        <v>0</v>
      </c>
      <c r="M153" s="592">
        <v>0</v>
      </c>
      <c r="N153" s="592">
        <v>0</v>
      </c>
      <c r="O153" s="592">
        <v>0</v>
      </c>
      <c r="P153" s="595">
        <f t="shared" si="4"/>
        <v>0</v>
      </c>
    </row>
    <row r="154" spans="1:16">
      <c r="A154" s="590">
        <v>149</v>
      </c>
      <c r="B154" s="591" t="s">
        <v>727</v>
      </c>
      <c r="C154" s="592" t="s">
        <v>579</v>
      </c>
      <c r="D154" s="593">
        <v>0</v>
      </c>
      <c r="E154" s="592">
        <v>2</v>
      </c>
      <c r="F154" s="592">
        <v>22</v>
      </c>
      <c r="G154" s="594">
        <v>0</v>
      </c>
      <c r="H154" s="592">
        <v>4</v>
      </c>
      <c r="I154" s="592">
        <v>8</v>
      </c>
      <c r="J154" s="592">
        <v>1</v>
      </c>
      <c r="K154" s="592">
        <v>4</v>
      </c>
      <c r="L154" s="592">
        <v>1</v>
      </c>
      <c r="M154" s="592">
        <v>0</v>
      </c>
      <c r="N154" s="592">
        <v>1</v>
      </c>
      <c r="O154" s="592">
        <v>0</v>
      </c>
      <c r="P154" s="595">
        <f t="shared" si="4"/>
        <v>19</v>
      </c>
    </row>
    <row r="155" spans="1:16">
      <c r="A155" s="590">
        <v>150</v>
      </c>
      <c r="B155" s="591" t="s">
        <v>728</v>
      </c>
      <c r="C155" s="592" t="s">
        <v>579</v>
      </c>
      <c r="D155" s="593">
        <v>0</v>
      </c>
      <c r="E155" s="592">
        <v>2</v>
      </c>
      <c r="F155" s="592">
        <v>22</v>
      </c>
      <c r="G155" s="594">
        <v>0</v>
      </c>
      <c r="H155" s="592">
        <v>0</v>
      </c>
      <c r="I155" s="592">
        <v>0</v>
      </c>
      <c r="J155" s="592">
        <v>0</v>
      </c>
      <c r="K155" s="592">
        <v>0</v>
      </c>
      <c r="L155" s="592">
        <v>0</v>
      </c>
      <c r="M155" s="592">
        <v>0</v>
      </c>
      <c r="N155" s="592">
        <v>0</v>
      </c>
      <c r="O155" s="592">
        <v>0</v>
      </c>
      <c r="P155" s="595">
        <f t="shared" si="4"/>
        <v>0</v>
      </c>
    </row>
    <row r="156" spans="1:16">
      <c r="A156" s="590">
        <v>151</v>
      </c>
      <c r="B156" s="591" t="s">
        <v>729</v>
      </c>
      <c r="C156" s="592" t="s">
        <v>579</v>
      </c>
      <c r="D156" s="593">
        <v>0</v>
      </c>
      <c r="E156" s="592">
        <v>2</v>
      </c>
      <c r="F156" s="592">
        <v>22</v>
      </c>
      <c r="G156" s="594">
        <v>0</v>
      </c>
      <c r="H156" s="592">
        <v>1</v>
      </c>
      <c r="I156" s="592">
        <v>2</v>
      </c>
      <c r="J156" s="592">
        <v>0</v>
      </c>
      <c r="K156" s="592">
        <v>0</v>
      </c>
      <c r="L156" s="592">
        <v>0</v>
      </c>
      <c r="M156" s="592">
        <v>0</v>
      </c>
      <c r="N156" s="592">
        <v>0</v>
      </c>
      <c r="O156" s="592">
        <v>0</v>
      </c>
      <c r="P156" s="595">
        <f t="shared" si="4"/>
        <v>3</v>
      </c>
    </row>
    <row r="157" spans="1:16">
      <c r="A157" s="590">
        <v>152</v>
      </c>
      <c r="B157" s="591" t="s">
        <v>730</v>
      </c>
      <c r="C157" s="592" t="s">
        <v>579</v>
      </c>
      <c r="D157" s="593">
        <v>0</v>
      </c>
      <c r="E157" s="592">
        <v>2</v>
      </c>
      <c r="F157" s="592">
        <v>22</v>
      </c>
      <c r="G157" s="594">
        <v>0</v>
      </c>
      <c r="H157" s="592">
        <v>0</v>
      </c>
      <c r="I157" s="592">
        <v>0</v>
      </c>
      <c r="J157" s="592">
        <v>0</v>
      </c>
      <c r="K157" s="592">
        <v>0</v>
      </c>
      <c r="L157" s="592">
        <v>0</v>
      </c>
      <c r="M157" s="592">
        <v>0</v>
      </c>
      <c r="N157" s="592">
        <v>0</v>
      </c>
      <c r="O157" s="592">
        <v>0</v>
      </c>
      <c r="P157" s="595">
        <f t="shared" si="4"/>
        <v>0</v>
      </c>
    </row>
    <row r="158" spans="1:16">
      <c r="A158" s="590">
        <v>153</v>
      </c>
      <c r="B158" s="591" t="s">
        <v>731</v>
      </c>
      <c r="C158" s="592" t="s">
        <v>579</v>
      </c>
      <c r="D158" s="593">
        <v>0</v>
      </c>
      <c r="E158" s="592">
        <v>2</v>
      </c>
      <c r="F158" s="592">
        <v>22</v>
      </c>
      <c r="G158" s="594">
        <v>0</v>
      </c>
      <c r="H158" s="592">
        <v>1</v>
      </c>
      <c r="I158" s="592">
        <v>1</v>
      </c>
      <c r="J158" s="592">
        <v>0</v>
      </c>
      <c r="K158" s="592">
        <v>0</v>
      </c>
      <c r="L158" s="592">
        <v>0</v>
      </c>
      <c r="M158" s="592">
        <v>0</v>
      </c>
      <c r="N158" s="592">
        <v>0</v>
      </c>
      <c r="O158" s="592">
        <v>0</v>
      </c>
      <c r="P158" s="595">
        <f t="shared" si="4"/>
        <v>2</v>
      </c>
    </row>
    <row r="159" spans="1:16">
      <c r="A159" s="590">
        <v>154</v>
      </c>
      <c r="B159" s="591" t="s">
        <v>732</v>
      </c>
      <c r="C159" s="592" t="s">
        <v>579</v>
      </c>
      <c r="D159" s="593">
        <v>0</v>
      </c>
      <c r="E159" s="592">
        <v>2</v>
      </c>
      <c r="F159" s="592">
        <v>22</v>
      </c>
      <c r="G159" s="594">
        <v>0</v>
      </c>
      <c r="H159" s="592">
        <v>1</v>
      </c>
      <c r="I159" s="592">
        <v>1</v>
      </c>
      <c r="J159" s="592">
        <v>0</v>
      </c>
      <c r="K159" s="592">
        <v>0</v>
      </c>
      <c r="L159" s="592">
        <v>0</v>
      </c>
      <c r="M159" s="592">
        <v>0</v>
      </c>
      <c r="N159" s="592">
        <v>0</v>
      </c>
      <c r="O159" s="592">
        <v>0</v>
      </c>
      <c r="P159" s="595">
        <f t="shared" si="4"/>
        <v>2</v>
      </c>
    </row>
    <row r="160" spans="1:16">
      <c r="A160" s="590">
        <v>155</v>
      </c>
      <c r="B160" s="591" t="s">
        <v>733</v>
      </c>
      <c r="C160" s="592" t="s">
        <v>579</v>
      </c>
      <c r="D160" s="593">
        <v>0</v>
      </c>
      <c r="E160" s="592">
        <v>2</v>
      </c>
      <c r="F160" s="592">
        <v>22</v>
      </c>
      <c r="G160" s="594">
        <v>0</v>
      </c>
      <c r="H160" s="592">
        <v>1</v>
      </c>
      <c r="I160" s="592">
        <v>2</v>
      </c>
      <c r="J160" s="592">
        <v>0</v>
      </c>
      <c r="K160" s="592">
        <v>0</v>
      </c>
      <c r="L160" s="592">
        <v>0</v>
      </c>
      <c r="M160" s="592">
        <v>0</v>
      </c>
      <c r="N160" s="592">
        <v>0</v>
      </c>
      <c r="O160" s="592">
        <v>0</v>
      </c>
      <c r="P160" s="595">
        <f t="shared" si="4"/>
        <v>3</v>
      </c>
    </row>
    <row r="161" spans="1:16">
      <c r="A161" s="590">
        <v>156</v>
      </c>
      <c r="B161" s="591" t="s">
        <v>734</v>
      </c>
      <c r="C161" s="592" t="s">
        <v>579</v>
      </c>
      <c r="D161" s="593">
        <v>0</v>
      </c>
      <c r="E161" s="592">
        <v>2</v>
      </c>
      <c r="F161" s="592">
        <v>22</v>
      </c>
      <c r="G161" s="594">
        <v>0</v>
      </c>
      <c r="H161" s="592">
        <v>0</v>
      </c>
      <c r="I161" s="592">
        <v>0</v>
      </c>
      <c r="J161" s="592">
        <v>0</v>
      </c>
      <c r="K161" s="592">
        <v>0</v>
      </c>
      <c r="L161" s="592">
        <v>0</v>
      </c>
      <c r="M161" s="592">
        <v>0</v>
      </c>
      <c r="N161" s="592">
        <v>0</v>
      </c>
      <c r="O161" s="592">
        <v>0</v>
      </c>
      <c r="P161" s="595">
        <f t="shared" si="4"/>
        <v>0</v>
      </c>
    </row>
    <row r="162" spans="1:16">
      <c r="A162" s="590">
        <v>157</v>
      </c>
      <c r="B162" s="591" t="s">
        <v>735</v>
      </c>
      <c r="C162" s="592" t="s">
        <v>579</v>
      </c>
      <c r="D162" s="593">
        <v>0</v>
      </c>
      <c r="E162" s="592">
        <v>2</v>
      </c>
      <c r="F162" s="592">
        <v>22</v>
      </c>
      <c r="G162" s="594">
        <v>0</v>
      </c>
      <c r="H162" s="592">
        <v>0</v>
      </c>
      <c r="I162" s="592">
        <v>0</v>
      </c>
      <c r="J162" s="592">
        <v>0</v>
      </c>
      <c r="K162" s="592">
        <v>0</v>
      </c>
      <c r="L162" s="592">
        <v>0</v>
      </c>
      <c r="M162" s="592">
        <v>0</v>
      </c>
      <c r="N162" s="592">
        <v>0</v>
      </c>
      <c r="O162" s="592">
        <v>0</v>
      </c>
      <c r="P162" s="595">
        <f t="shared" si="4"/>
        <v>0</v>
      </c>
    </row>
    <row r="163" spans="1:16">
      <c r="A163" s="590">
        <v>158</v>
      </c>
      <c r="B163" s="591" t="s">
        <v>736</v>
      </c>
      <c r="C163" s="592" t="s">
        <v>579</v>
      </c>
      <c r="D163" s="593">
        <v>0</v>
      </c>
      <c r="E163" s="592">
        <v>2</v>
      </c>
      <c r="F163" s="592">
        <v>22</v>
      </c>
      <c r="G163" s="594">
        <v>0</v>
      </c>
      <c r="H163" s="592">
        <v>1</v>
      </c>
      <c r="I163" s="592">
        <v>2</v>
      </c>
      <c r="J163" s="592">
        <v>0</v>
      </c>
      <c r="K163" s="592">
        <v>0</v>
      </c>
      <c r="L163" s="592">
        <v>0</v>
      </c>
      <c r="M163" s="592">
        <v>0</v>
      </c>
      <c r="N163" s="592">
        <v>0</v>
      </c>
      <c r="O163" s="592">
        <v>0</v>
      </c>
      <c r="P163" s="595">
        <f t="shared" si="4"/>
        <v>3</v>
      </c>
    </row>
    <row r="164" spans="1:16">
      <c r="A164" s="590">
        <v>159</v>
      </c>
      <c r="B164" s="591" t="s">
        <v>737</v>
      </c>
      <c r="C164" s="592" t="s">
        <v>579</v>
      </c>
      <c r="D164" s="593">
        <v>0</v>
      </c>
      <c r="E164" s="592">
        <v>2</v>
      </c>
      <c r="F164" s="592">
        <v>22</v>
      </c>
      <c r="G164" s="594">
        <v>0</v>
      </c>
      <c r="H164" s="592">
        <v>1</v>
      </c>
      <c r="I164" s="592">
        <v>1</v>
      </c>
      <c r="J164" s="592">
        <v>0</v>
      </c>
      <c r="K164" s="592">
        <v>0</v>
      </c>
      <c r="L164" s="592">
        <v>0</v>
      </c>
      <c r="M164" s="592">
        <v>0</v>
      </c>
      <c r="N164" s="592">
        <v>0</v>
      </c>
      <c r="O164" s="592">
        <v>0</v>
      </c>
      <c r="P164" s="595">
        <f t="shared" si="4"/>
        <v>2</v>
      </c>
    </row>
    <row r="165" spans="1:16">
      <c r="A165" s="590">
        <v>160</v>
      </c>
      <c r="B165" s="591" t="s">
        <v>738</v>
      </c>
      <c r="C165" s="592" t="s">
        <v>579</v>
      </c>
      <c r="D165" s="593">
        <v>0</v>
      </c>
      <c r="E165" s="592">
        <v>2</v>
      </c>
      <c r="F165" s="592">
        <v>22</v>
      </c>
      <c r="G165" s="594">
        <v>0</v>
      </c>
      <c r="H165" s="592">
        <v>0</v>
      </c>
      <c r="I165" s="592">
        <v>0</v>
      </c>
      <c r="J165" s="592">
        <v>0</v>
      </c>
      <c r="K165" s="592">
        <v>0</v>
      </c>
      <c r="L165" s="592">
        <v>0</v>
      </c>
      <c r="M165" s="592">
        <v>0</v>
      </c>
      <c r="N165" s="592">
        <v>0</v>
      </c>
      <c r="O165" s="592">
        <v>0</v>
      </c>
      <c r="P165" s="595">
        <f t="shared" si="4"/>
        <v>0</v>
      </c>
    </row>
    <row r="166" spans="1:16">
      <c r="A166" s="590">
        <v>161</v>
      </c>
      <c r="B166" s="591" t="s">
        <v>739</v>
      </c>
      <c r="C166" s="592" t="s">
        <v>579</v>
      </c>
      <c r="D166" s="593">
        <v>0</v>
      </c>
      <c r="E166" s="592">
        <v>2</v>
      </c>
      <c r="F166" s="592">
        <v>22</v>
      </c>
      <c r="G166" s="594">
        <v>0</v>
      </c>
      <c r="H166" s="592">
        <v>1</v>
      </c>
      <c r="I166" s="592">
        <v>2</v>
      </c>
      <c r="J166" s="592">
        <v>0</v>
      </c>
      <c r="K166" s="592">
        <v>0</v>
      </c>
      <c r="L166" s="592">
        <v>0</v>
      </c>
      <c r="M166" s="592">
        <v>0</v>
      </c>
      <c r="N166" s="592">
        <v>0</v>
      </c>
      <c r="O166" s="592">
        <v>0</v>
      </c>
      <c r="P166" s="595">
        <f t="shared" ref="P166:P189" si="5">SUM(H166:O166)</f>
        <v>3</v>
      </c>
    </row>
    <row r="167" spans="1:16">
      <c r="A167" s="590">
        <v>162</v>
      </c>
      <c r="B167" s="591" t="s">
        <v>740</v>
      </c>
      <c r="C167" s="592" t="s">
        <v>579</v>
      </c>
      <c r="D167" s="593">
        <v>0</v>
      </c>
      <c r="E167" s="592">
        <v>2</v>
      </c>
      <c r="F167" s="592">
        <v>22</v>
      </c>
      <c r="G167" s="594">
        <v>0</v>
      </c>
      <c r="H167" s="592">
        <v>1</v>
      </c>
      <c r="I167" s="592">
        <v>2</v>
      </c>
      <c r="J167" s="592">
        <v>0</v>
      </c>
      <c r="K167" s="592">
        <v>0</v>
      </c>
      <c r="L167" s="592">
        <v>0</v>
      </c>
      <c r="M167" s="592">
        <v>0</v>
      </c>
      <c r="N167" s="592">
        <v>0</v>
      </c>
      <c r="O167" s="592">
        <v>0</v>
      </c>
      <c r="P167" s="595">
        <f t="shared" si="5"/>
        <v>3</v>
      </c>
    </row>
    <row r="168" spans="1:16">
      <c r="A168" s="590">
        <v>163</v>
      </c>
      <c r="B168" s="591" t="s">
        <v>741</v>
      </c>
      <c r="C168" s="592" t="s">
        <v>579</v>
      </c>
      <c r="D168" s="593">
        <v>0</v>
      </c>
      <c r="E168" s="592">
        <v>2</v>
      </c>
      <c r="F168" s="592">
        <v>22</v>
      </c>
      <c r="G168" s="594">
        <v>0</v>
      </c>
      <c r="H168" s="592">
        <v>0</v>
      </c>
      <c r="I168" s="592">
        <v>0</v>
      </c>
      <c r="J168" s="592">
        <v>0</v>
      </c>
      <c r="K168" s="592">
        <v>0</v>
      </c>
      <c r="L168" s="592">
        <v>0</v>
      </c>
      <c r="M168" s="592">
        <v>0</v>
      </c>
      <c r="N168" s="592">
        <v>0</v>
      </c>
      <c r="O168" s="592">
        <v>0</v>
      </c>
      <c r="P168" s="595">
        <f t="shared" si="5"/>
        <v>0</v>
      </c>
    </row>
    <row r="169" spans="1:16">
      <c r="A169" s="590">
        <v>164</v>
      </c>
      <c r="B169" s="591" t="s">
        <v>742</v>
      </c>
      <c r="C169" s="592" t="s">
        <v>579</v>
      </c>
      <c r="D169" s="593">
        <v>0</v>
      </c>
      <c r="E169" s="592">
        <v>2</v>
      </c>
      <c r="F169" s="592">
        <v>22</v>
      </c>
      <c r="G169" s="594">
        <v>0</v>
      </c>
      <c r="H169" s="592">
        <v>0</v>
      </c>
      <c r="I169" s="592">
        <v>0</v>
      </c>
      <c r="J169" s="592">
        <v>0</v>
      </c>
      <c r="K169" s="592">
        <v>0</v>
      </c>
      <c r="L169" s="592">
        <v>0</v>
      </c>
      <c r="M169" s="592">
        <v>0</v>
      </c>
      <c r="N169" s="592">
        <v>0</v>
      </c>
      <c r="O169" s="592">
        <v>0</v>
      </c>
      <c r="P169" s="595">
        <f t="shared" si="5"/>
        <v>0</v>
      </c>
    </row>
    <row r="170" spans="1:16">
      <c r="A170" s="590">
        <v>165</v>
      </c>
      <c r="B170" s="591" t="s">
        <v>743</v>
      </c>
      <c r="C170" s="592" t="s">
        <v>579</v>
      </c>
      <c r="D170" s="593">
        <v>0</v>
      </c>
      <c r="E170" s="592">
        <v>2</v>
      </c>
      <c r="F170" s="592">
        <v>22</v>
      </c>
      <c r="G170" s="594">
        <v>0</v>
      </c>
      <c r="H170" s="592">
        <v>1</v>
      </c>
      <c r="I170" s="592">
        <v>2</v>
      </c>
      <c r="J170" s="592">
        <v>0</v>
      </c>
      <c r="K170" s="592">
        <v>0</v>
      </c>
      <c r="L170" s="592">
        <v>0</v>
      </c>
      <c r="M170" s="592">
        <v>0</v>
      </c>
      <c r="N170" s="592">
        <v>0</v>
      </c>
      <c r="O170" s="592">
        <v>0</v>
      </c>
      <c r="P170" s="595">
        <f t="shared" si="5"/>
        <v>3</v>
      </c>
    </row>
    <row r="171" spans="1:16">
      <c r="A171" s="590">
        <v>166</v>
      </c>
      <c r="B171" s="591" t="s">
        <v>744</v>
      </c>
      <c r="C171" s="592" t="s">
        <v>579</v>
      </c>
      <c r="D171" s="593">
        <v>0</v>
      </c>
      <c r="E171" s="592">
        <v>2</v>
      </c>
      <c r="F171" s="592">
        <v>22</v>
      </c>
      <c r="G171" s="594">
        <v>0</v>
      </c>
      <c r="H171" s="592">
        <v>0</v>
      </c>
      <c r="I171" s="592">
        <v>0</v>
      </c>
      <c r="J171" s="592">
        <v>0</v>
      </c>
      <c r="K171" s="592">
        <v>0</v>
      </c>
      <c r="L171" s="592">
        <v>0</v>
      </c>
      <c r="M171" s="592">
        <v>0</v>
      </c>
      <c r="N171" s="592">
        <v>0</v>
      </c>
      <c r="O171" s="592">
        <v>0</v>
      </c>
      <c r="P171" s="595">
        <f t="shared" si="5"/>
        <v>0</v>
      </c>
    </row>
    <row r="172" spans="1:16">
      <c r="A172" s="590">
        <v>167</v>
      </c>
      <c r="B172" s="591" t="s">
        <v>745</v>
      </c>
      <c r="C172" s="592" t="s">
        <v>579</v>
      </c>
      <c r="D172" s="593">
        <v>0</v>
      </c>
      <c r="E172" s="592">
        <v>2</v>
      </c>
      <c r="F172" s="592">
        <v>22</v>
      </c>
      <c r="G172" s="594">
        <v>0</v>
      </c>
      <c r="H172" s="592">
        <v>4</v>
      </c>
      <c r="I172" s="592">
        <v>10</v>
      </c>
      <c r="J172" s="592">
        <v>1</v>
      </c>
      <c r="K172" s="592">
        <v>5</v>
      </c>
      <c r="L172" s="592">
        <v>1</v>
      </c>
      <c r="M172" s="592">
        <v>0</v>
      </c>
      <c r="N172" s="592">
        <v>1</v>
      </c>
      <c r="O172" s="592">
        <v>0</v>
      </c>
      <c r="P172" s="595">
        <f t="shared" si="5"/>
        <v>22</v>
      </c>
    </row>
    <row r="173" spans="1:16">
      <c r="A173" s="590">
        <v>168</v>
      </c>
      <c r="B173" s="591" t="s">
        <v>746</v>
      </c>
      <c r="C173" s="592" t="s">
        <v>579</v>
      </c>
      <c r="D173" s="593">
        <v>0</v>
      </c>
      <c r="E173" s="592">
        <v>2</v>
      </c>
      <c r="F173" s="592">
        <v>22</v>
      </c>
      <c r="G173" s="594">
        <v>0</v>
      </c>
      <c r="H173" s="592">
        <v>1</v>
      </c>
      <c r="I173" s="592">
        <v>1</v>
      </c>
      <c r="J173" s="592">
        <v>0</v>
      </c>
      <c r="K173" s="592">
        <v>0</v>
      </c>
      <c r="L173" s="592">
        <v>0</v>
      </c>
      <c r="M173" s="592">
        <v>0</v>
      </c>
      <c r="N173" s="592">
        <v>0</v>
      </c>
      <c r="O173" s="592">
        <v>0</v>
      </c>
      <c r="P173" s="595">
        <f t="shared" si="5"/>
        <v>2</v>
      </c>
    </row>
    <row r="174" spans="1:16">
      <c r="A174" s="590">
        <v>169</v>
      </c>
      <c r="B174" s="591" t="s">
        <v>747</v>
      </c>
      <c r="C174" s="592" t="s">
        <v>579</v>
      </c>
      <c r="D174" s="593">
        <v>0</v>
      </c>
      <c r="E174" s="592">
        <v>2</v>
      </c>
      <c r="F174" s="592">
        <v>22</v>
      </c>
      <c r="G174" s="594">
        <v>0</v>
      </c>
      <c r="H174" s="592">
        <v>1</v>
      </c>
      <c r="I174" s="592">
        <v>1</v>
      </c>
      <c r="J174" s="592">
        <v>0</v>
      </c>
      <c r="K174" s="592">
        <v>0</v>
      </c>
      <c r="L174" s="592">
        <v>0</v>
      </c>
      <c r="M174" s="592">
        <v>0</v>
      </c>
      <c r="N174" s="592">
        <v>0</v>
      </c>
      <c r="O174" s="592">
        <v>0</v>
      </c>
      <c r="P174" s="595">
        <f t="shared" si="5"/>
        <v>2</v>
      </c>
    </row>
    <row r="175" spans="1:16">
      <c r="A175" s="590">
        <v>170</v>
      </c>
      <c r="B175" s="591" t="s">
        <v>748</v>
      </c>
      <c r="C175" s="592" t="s">
        <v>579</v>
      </c>
      <c r="D175" s="593">
        <v>0</v>
      </c>
      <c r="E175" s="592">
        <v>2</v>
      </c>
      <c r="F175" s="592">
        <v>22</v>
      </c>
      <c r="G175" s="594">
        <v>0</v>
      </c>
      <c r="H175" s="592">
        <v>2</v>
      </c>
      <c r="I175" s="592">
        <v>1</v>
      </c>
      <c r="J175" s="592">
        <v>0</v>
      </c>
      <c r="K175" s="592">
        <v>0</v>
      </c>
      <c r="L175" s="592">
        <v>0</v>
      </c>
      <c r="M175" s="592">
        <v>0</v>
      </c>
      <c r="N175" s="592">
        <v>0</v>
      </c>
      <c r="O175" s="592">
        <v>0</v>
      </c>
      <c r="P175" s="595">
        <f t="shared" si="5"/>
        <v>3</v>
      </c>
    </row>
    <row r="176" spans="1:16">
      <c r="A176" s="590">
        <v>171</v>
      </c>
      <c r="B176" s="591" t="s">
        <v>749</v>
      </c>
      <c r="C176" s="592" t="s">
        <v>579</v>
      </c>
      <c r="D176" s="593">
        <v>0</v>
      </c>
      <c r="E176" s="592">
        <v>2</v>
      </c>
      <c r="F176" s="592">
        <v>22</v>
      </c>
      <c r="G176" s="594">
        <v>0</v>
      </c>
      <c r="H176" s="592">
        <v>0</v>
      </c>
      <c r="I176" s="592">
        <v>0</v>
      </c>
      <c r="J176" s="592">
        <v>0</v>
      </c>
      <c r="K176" s="592">
        <v>0</v>
      </c>
      <c r="L176" s="592">
        <v>0</v>
      </c>
      <c r="M176" s="592">
        <v>0</v>
      </c>
      <c r="N176" s="592">
        <v>0</v>
      </c>
      <c r="O176" s="592">
        <v>0</v>
      </c>
      <c r="P176" s="595">
        <f t="shared" si="5"/>
        <v>0</v>
      </c>
    </row>
    <row r="177" spans="1:16">
      <c r="A177" s="590">
        <v>172</v>
      </c>
      <c r="B177" s="591" t="s">
        <v>750</v>
      </c>
      <c r="C177" s="592" t="s">
        <v>579</v>
      </c>
      <c r="D177" s="593">
        <v>0</v>
      </c>
      <c r="E177" s="592">
        <v>2</v>
      </c>
      <c r="F177" s="592">
        <v>22</v>
      </c>
      <c r="G177" s="594">
        <v>0</v>
      </c>
      <c r="H177" s="592">
        <v>2</v>
      </c>
      <c r="I177" s="592">
        <v>8</v>
      </c>
      <c r="J177" s="592">
        <v>1</v>
      </c>
      <c r="K177" s="592">
        <v>3</v>
      </c>
      <c r="L177" s="592">
        <v>1</v>
      </c>
      <c r="M177" s="592">
        <v>0</v>
      </c>
      <c r="N177" s="592">
        <v>1</v>
      </c>
      <c r="O177" s="592">
        <v>0</v>
      </c>
      <c r="P177" s="595">
        <f t="shared" si="5"/>
        <v>16</v>
      </c>
    </row>
    <row r="178" spans="1:16">
      <c r="A178" s="590">
        <v>173</v>
      </c>
      <c r="B178" s="591" t="s">
        <v>751</v>
      </c>
      <c r="C178" s="592" t="s">
        <v>579</v>
      </c>
      <c r="D178" s="593">
        <v>0</v>
      </c>
      <c r="E178" s="592">
        <v>2</v>
      </c>
      <c r="F178" s="592">
        <v>22</v>
      </c>
      <c r="G178" s="594">
        <v>0</v>
      </c>
      <c r="H178" s="592">
        <v>0</v>
      </c>
      <c r="I178" s="592">
        <v>0</v>
      </c>
      <c r="J178" s="592">
        <v>0</v>
      </c>
      <c r="K178" s="592">
        <v>0</v>
      </c>
      <c r="L178" s="592">
        <v>0</v>
      </c>
      <c r="M178" s="592">
        <v>0</v>
      </c>
      <c r="N178" s="592">
        <v>0</v>
      </c>
      <c r="O178" s="592">
        <v>0</v>
      </c>
      <c r="P178" s="595">
        <f t="shared" si="5"/>
        <v>0</v>
      </c>
    </row>
    <row r="179" spans="1:16">
      <c r="A179" s="590">
        <v>174</v>
      </c>
      <c r="B179" s="591" t="s">
        <v>752</v>
      </c>
      <c r="C179" s="592" t="s">
        <v>579</v>
      </c>
      <c r="D179" s="593">
        <v>0</v>
      </c>
      <c r="E179" s="592">
        <v>2</v>
      </c>
      <c r="F179" s="592">
        <v>22</v>
      </c>
      <c r="G179" s="594">
        <v>0</v>
      </c>
      <c r="H179" s="592">
        <v>1</v>
      </c>
      <c r="I179" s="592">
        <v>2</v>
      </c>
      <c r="J179" s="592">
        <v>0</v>
      </c>
      <c r="K179" s="592">
        <v>0</v>
      </c>
      <c r="L179" s="592">
        <v>0</v>
      </c>
      <c r="M179" s="592">
        <v>0</v>
      </c>
      <c r="N179" s="592">
        <v>0</v>
      </c>
      <c r="O179" s="592">
        <v>0</v>
      </c>
      <c r="P179" s="595">
        <f t="shared" si="5"/>
        <v>3</v>
      </c>
    </row>
    <row r="180" spans="1:16">
      <c r="A180" s="590">
        <v>175</v>
      </c>
      <c r="B180" s="591" t="s">
        <v>753</v>
      </c>
      <c r="C180" s="592" t="s">
        <v>579</v>
      </c>
      <c r="D180" s="593">
        <v>0</v>
      </c>
      <c r="E180" s="592">
        <v>2</v>
      </c>
      <c r="F180" s="592">
        <v>22</v>
      </c>
      <c r="G180" s="594">
        <v>0</v>
      </c>
      <c r="H180" s="592">
        <v>1</v>
      </c>
      <c r="I180" s="592">
        <v>2</v>
      </c>
      <c r="J180" s="592">
        <v>0</v>
      </c>
      <c r="K180" s="592">
        <v>0</v>
      </c>
      <c r="L180" s="592">
        <v>0</v>
      </c>
      <c r="M180" s="592">
        <v>0</v>
      </c>
      <c r="N180" s="592">
        <v>0</v>
      </c>
      <c r="O180" s="592">
        <v>0</v>
      </c>
      <c r="P180" s="595">
        <f t="shared" si="5"/>
        <v>3</v>
      </c>
    </row>
    <row r="181" spans="1:16">
      <c r="A181" s="590">
        <v>176</v>
      </c>
      <c r="B181" s="591" t="s">
        <v>754</v>
      </c>
      <c r="C181" s="592" t="s">
        <v>579</v>
      </c>
      <c r="D181" s="593">
        <v>0</v>
      </c>
      <c r="E181" s="592">
        <v>2</v>
      </c>
      <c r="F181" s="592">
        <v>22</v>
      </c>
      <c r="G181" s="594">
        <v>0</v>
      </c>
      <c r="H181" s="592">
        <v>0</v>
      </c>
      <c r="I181" s="592">
        <v>0</v>
      </c>
      <c r="J181" s="592">
        <v>0</v>
      </c>
      <c r="K181" s="592">
        <v>0</v>
      </c>
      <c r="L181" s="592">
        <v>0</v>
      </c>
      <c r="M181" s="592">
        <v>0</v>
      </c>
      <c r="N181" s="592">
        <v>0</v>
      </c>
      <c r="O181" s="592">
        <v>0</v>
      </c>
      <c r="P181" s="595">
        <f t="shared" si="5"/>
        <v>0</v>
      </c>
    </row>
    <row r="182" spans="1:16">
      <c r="A182" s="590">
        <v>177</v>
      </c>
      <c r="B182" s="591" t="s">
        <v>755</v>
      </c>
      <c r="C182" s="592" t="s">
        <v>579</v>
      </c>
      <c r="D182" s="593">
        <v>0</v>
      </c>
      <c r="E182" s="592">
        <v>2</v>
      </c>
      <c r="F182" s="592">
        <v>22</v>
      </c>
      <c r="G182" s="594">
        <v>0</v>
      </c>
      <c r="H182" s="592">
        <v>1</v>
      </c>
      <c r="I182" s="592">
        <v>2</v>
      </c>
      <c r="J182" s="592">
        <v>0</v>
      </c>
      <c r="K182" s="592">
        <v>0</v>
      </c>
      <c r="L182" s="592">
        <v>0</v>
      </c>
      <c r="M182" s="592">
        <v>0</v>
      </c>
      <c r="N182" s="592">
        <v>0</v>
      </c>
      <c r="O182" s="592">
        <v>0</v>
      </c>
      <c r="P182" s="595">
        <f t="shared" si="5"/>
        <v>3</v>
      </c>
    </row>
    <row r="183" spans="1:16">
      <c r="A183" s="590">
        <v>178</v>
      </c>
      <c r="B183" s="591" t="s">
        <v>756</v>
      </c>
      <c r="C183" s="592" t="s">
        <v>579</v>
      </c>
      <c r="D183" s="593">
        <v>0</v>
      </c>
      <c r="E183" s="592">
        <v>2</v>
      </c>
      <c r="F183" s="592">
        <v>22</v>
      </c>
      <c r="G183" s="594">
        <v>0</v>
      </c>
      <c r="H183" s="592">
        <v>0</v>
      </c>
      <c r="I183" s="592">
        <v>0</v>
      </c>
      <c r="J183" s="592">
        <v>0</v>
      </c>
      <c r="K183" s="592">
        <v>0</v>
      </c>
      <c r="L183" s="592">
        <v>0</v>
      </c>
      <c r="M183" s="592">
        <v>0</v>
      </c>
      <c r="N183" s="592">
        <v>0</v>
      </c>
      <c r="O183" s="592">
        <v>0</v>
      </c>
      <c r="P183" s="595">
        <f t="shared" si="5"/>
        <v>0</v>
      </c>
    </row>
    <row r="184" spans="1:16">
      <c r="A184" s="590">
        <v>179</v>
      </c>
      <c r="B184" s="591" t="s">
        <v>757</v>
      </c>
      <c r="C184" s="592" t="s">
        <v>579</v>
      </c>
      <c r="D184" s="593">
        <v>0</v>
      </c>
      <c r="E184" s="592">
        <v>2</v>
      </c>
      <c r="F184" s="592">
        <v>22</v>
      </c>
      <c r="G184" s="594">
        <v>0</v>
      </c>
      <c r="H184" s="592">
        <v>1</v>
      </c>
      <c r="I184" s="592">
        <v>1</v>
      </c>
      <c r="J184" s="592">
        <v>0</v>
      </c>
      <c r="K184" s="592">
        <v>0</v>
      </c>
      <c r="L184" s="592">
        <v>0</v>
      </c>
      <c r="M184" s="592">
        <v>0</v>
      </c>
      <c r="N184" s="592">
        <v>0</v>
      </c>
      <c r="O184" s="592">
        <v>0</v>
      </c>
      <c r="P184" s="595">
        <f t="shared" si="5"/>
        <v>2</v>
      </c>
    </row>
    <row r="185" spans="1:16">
      <c r="A185" s="590">
        <v>180</v>
      </c>
      <c r="B185" s="591" t="s">
        <v>758</v>
      </c>
      <c r="C185" s="592" t="s">
        <v>579</v>
      </c>
      <c r="D185" s="593">
        <v>0</v>
      </c>
      <c r="E185" s="592">
        <v>2</v>
      </c>
      <c r="F185" s="592">
        <v>22</v>
      </c>
      <c r="G185" s="594">
        <v>0</v>
      </c>
      <c r="H185" s="592">
        <v>1</v>
      </c>
      <c r="I185" s="592">
        <v>2</v>
      </c>
      <c r="J185" s="592">
        <v>0</v>
      </c>
      <c r="K185" s="592">
        <v>0</v>
      </c>
      <c r="L185" s="592">
        <v>0</v>
      </c>
      <c r="M185" s="592">
        <v>0</v>
      </c>
      <c r="N185" s="592">
        <v>0</v>
      </c>
      <c r="O185" s="592">
        <v>0</v>
      </c>
      <c r="P185" s="595">
        <f t="shared" si="5"/>
        <v>3</v>
      </c>
    </row>
    <row r="186" spans="1:16">
      <c r="A186" s="590">
        <v>181</v>
      </c>
      <c r="B186" s="591" t="s">
        <v>759</v>
      </c>
      <c r="C186" s="592" t="s">
        <v>579</v>
      </c>
      <c r="D186" s="593">
        <v>0</v>
      </c>
      <c r="E186" s="592">
        <v>2</v>
      </c>
      <c r="F186" s="592">
        <v>22</v>
      </c>
      <c r="G186" s="594">
        <v>0</v>
      </c>
      <c r="H186" s="592">
        <v>1</v>
      </c>
      <c r="I186" s="592">
        <v>1</v>
      </c>
      <c r="J186" s="592">
        <v>0</v>
      </c>
      <c r="K186" s="592">
        <v>0</v>
      </c>
      <c r="L186" s="592">
        <v>0</v>
      </c>
      <c r="M186" s="592">
        <v>0</v>
      </c>
      <c r="N186" s="592">
        <v>0</v>
      </c>
      <c r="O186" s="592">
        <v>0</v>
      </c>
      <c r="P186" s="595">
        <f t="shared" si="5"/>
        <v>2</v>
      </c>
    </row>
    <row r="187" spans="1:16">
      <c r="A187" s="590">
        <v>182</v>
      </c>
      <c r="B187" s="591" t="s">
        <v>760</v>
      </c>
      <c r="C187" s="592" t="s">
        <v>579</v>
      </c>
      <c r="D187" s="593">
        <v>0</v>
      </c>
      <c r="E187" s="592">
        <v>2</v>
      </c>
      <c r="F187" s="592">
        <v>22</v>
      </c>
      <c r="G187" s="594">
        <v>0</v>
      </c>
      <c r="H187" s="592">
        <v>0</v>
      </c>
      <c r="I187" s="592">
        <v>0</v>
      </c>
      <c r="J187" s="592">
        <v>0</v>
      </c>
      <c r="K187" s="592">
        <v>0</v>
      </c>
      <c r="L187" s="592">
        <v>0</v>
      </c>
      <c r="M187" s="592">
        <v>0</v>
      </c>
      <c r="N187" s="592">
        <v>0</v>
      </c>
      <c r="O187" s="592">
        <v>0</v>
      </c>
      <c r="P187" s="595">
        <f t="shared" si="5"/>
        <v>0</v>
      </c>
    </row>
    <row r="188" spans="1:16">
      <c r="A188" s="590">
        <v>183</v>
      </c>
      <c r="B188" s="591" t="s">
        <v>761</v>
      </c>
      <c r="C188" s="592" t="s">
        <v>579</v>
      </c>
      <c r="D188" s="593">
        <v>0</v>
      </c>
      <c r="E188" s="592">
        <v>2</v>
      </c>
      <c r="F188" s="592">
        <v>22</v>
      </c>
      <c r="G188" s="594">
        <v>0</v>
      </c>
      <c r="H188" s="592">
        <v>1</v>
      </c>
      <c r="I188" s="592">
        <v>2</v>
      </c>
      <c r="J188" s="592">
        <v>0</v>
      </c>
      <c r="K188" s="592">
        <v>0</v>
      </c>
      <c r="L188" s="592">
        <v>0</v>
      </c>
      <c r="M188" s="592">
        <v>0</v>
      </c>
      <c r="N188" s="592">
        <v>0</v>
      </c>
      <c r="O188" s="592">
        <v>0</v>
      </c>
      <c r="P188" s="595">
        <f t="shared" si="5"/>
        <v>3</v>
      </c>
    </row>
    <row r="189" spans="1:16">
      <c r="A189" s="590">
        <v>184</v>
      </c>
      <c r="B189" s="591" t="s">
        <v>762</v>
      </c>
      <c r="C189" s="592" t="s">
        <v>579</v>
      </c>
      <c r="D189" s="593">
        <v>0</v>
      </c>
      <c r="E189" s="592">
        <v>2</v>
      </c>
      <c r="F189" s="592">
        <v>22</v>
      </c>
      <c r="G189" s="594">
        <v>0</v>
      </c>
      <c r="H189" s="592">
        <v>1</v>
      </c>
      <c r="I189" s="592">
        <v>2</v>
      </c>
      <c r="J189" s="592">
        <v>0</v>
      </c>
      <c r="K189" s="592">
        <v>0</v>
      </c>
      <c r="L189" s="592">
        <v>0</v>
      </c>
      <c r="M189" s="592">
        <v>0</v>
      </c>
      <c r="N189" s="592">
        <v>0</v>
      </c>
      <c r="O189" s="592">
        <v>0</v>
      </c>
      <c r="P189" s="595">
        <f t="shared" si="5"/>
        <v>3</v>
      </c>
    </row>
    <row r="190" spans="1:16">
      <c r="A190" s="596"/>
      <c r="B190" s="597" t="s">
        <v>763</v>
      </c>
      <c r="C190" s="596"/>
      <c r="D190" s="596"/>
      <c r="E190" s="596"/>
      <c r="F190" s="596"/>
      <c r="G190" s="596"/>
      <c r="H190" s="598">
        <f t="shared" ref="H190:P190" si="6">SUM(H6:H189)</f>
        <v>221</v>
      </c>
      <c r="I190" s="598">
        <f t="shared" si="6"/>
        <v>362</v>
      </c>
      <c r="J190" s="598">
        <f t="shared" si="6"/>
        <v>133</v>
      </c>
      <c r="K190" s="598">
        <f t="shared" si="6"/>
        <v>52</v>
      </c>
      <c r="L190" s="598">
        <f t="shared" si="6"/>
        <v>16</v>
      </c>
      <c r="M190" s="598">
        <f t="shared" si="6"/>
        <v>5</v>
      </c>
      <c r="N190" s="598">
        <f t="shared" si="6"/>
        <v>21</v>
      </c>
      <c r="O190" s="598">
        <f t="shared" si="6"/>
        <v>14</v>
      </c>
      <c r="P190" s="599">
        <f t="shared" si="6"/>
        <v>824</v>
      </c>
    </row>
    <row r="191" spans="1:16">
      <c r="A191" s="619"/>
      <c r="B191" s="620" t="s">
        <v>764</v>
      </c>
      <c r="H191" s="601">
        <v>221</v>
      </c>
      <c r="I191" s="601">
        <v>362</v>
      </c>
      <c r="J191" s="601">
        <v>133</v>
      </c>
      <c r="K191" s="601">
        <v>52</v>
      </c>
      <c r="L191" s="601">
        <v>16</v>
      </c>
      <c r="M191" s="601">
        <v>5</v>
      </c>
      <c r="N191" s="601">
        <v>21</v>
      </c>
      <c r="O191" s="601">
        <v>14</v>
      </c>
      <c r="P191" s="601">
        <v>824</v>
      </c>
    </row>
    <row r="192" spans="1:16">
      <c r="B192" s="600" t="s">
        <v>765</v>
      </c>
      <c r="H192" s="602" t="str">
        <f t="shared" ref="H192:P192" si="7">IF(H190=H191,"OK","Dif. "&amp;TEXT(H190-H191,"0"))</f>
        <v>OK</v>
      </c>
      <c r="I192" s="602" t="str">
        <f t="shared" si="7"/>
        <v>OK</v>
      </c>
      <c r="J192" s="602" t="str">
        <f t="shared" si="7"/>
        <v>OK</v>
      </c>
      <c r="K192" s="602" t="str">
        <f t="shared" si="7"/>
        <v>OK</v>
      </c>
      <c r="L192" s="602" t="str">
        <f t="shared" si="7"/>
        <v>OK</v>
      </c>
      <c r="M192" s="602" t="str">
        <f t="shared" si="7"/>
        <v>OK</v>
      </c>
      <c r="N192" s="602" t="str">
        <f t="shared" si="7"/>
        <v>OK</v>
      </c>
      <c r="O192" s="602" t="str">
        <f t="shared" si="7"/>
        <v>OK</v>
      </c>
      <c r="P192" s="603" t="str">
        <f t="shared" si="7"/>
        <v>OK</v>
      </c>
    </row>
  </sheetData>
  <sheetProtection sheet="1" objects="1" scenarios="1"/>
  <protectedRanges>
    <protectedRange sqref="C6:D189" name="Range1"/>
    <protectedRange sqref="G6:G189" name="Range2"/>
  </protectedRanges>
  <mergeCells count="5">
    <mergeCell ref="A1:P1"/>
    <mergeCell ref="A2:P2"/>
    <mergeCell ref="A4:B4"/>
    <mergeCell ref="C4:F4"/>
    <mergeCell ref="H4:O4"/>
  </mergeCells>
  <pageMargins left="0.75" right="0.75" top="1" bottom="1" header="0.511811023622047" footer="0.511811023622047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  <pageSetUpPr fitToPage="1"/>
  </sheetPr>
  <dimension ref="A1:X190"/>
  <sheetViews>
    <sheetView zoomScaleNormal="100" workbookViewId="0">
      <pane xSplit="2" ySplit="5" topLeftCell="C172" activePane="bottomRight" state="frozen"/>
      <selection pane="bottomRight"/>
      <selection pane="bottomLeft" activeCell="A6" sqref="A6"/>
      <selection pane="topRight" activeCell="C1" sqref="C1"/>
    </sheetView>
  </sheetViews>
  <sheetFormatPr defaultColWidth="8.7109375" defaultRowHeight="15"/>
  <cols>
    <col min="1" max="1" width="5" customWidth="1"/>
    <col min="2" max="2" width="26" customWidth="1"/>
    <col min="3" max="20" width="13" customWidth="1"/>
    <col min="21" max="21" width="16.42578125" bestFit="1" customWidth="1"/>
    <col min="22" max="22" width="14.7109375" bestFit="1" customWidth="1"/>
    <col min="23" max="23" width="16.42578125" bestFit="1" customWidth="1"/>
    <col min="24" max="24" width="18.85546875" bestFit="1" customWidth="1"/>
  </cols>
  <sheetData>
    <row r="1" spans="1:24" ht="27.75" customHeight="1">
      <c r="A1" s="649" t="s">
        <v>766</v>
      </c>
      <c r="B1" s="649"/>
      <c r="C1" s="649"/>
      <c r="D1" s="649"/>
      <c r="E1" s="649"/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</row>
    <row r="2" spans="1:24" ht="33.75" customHeight="1">
      <c r="A2" s="650" t="s">
        <v>767</v>
      </c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50"/>
      <c r="S2" s="650"/>
      <c r="T2" s="650"/>
      <c r="U2" s="650"/>
      <c r="V2" s="650"/>
      <c r="W2" s="650"/>
      <c r="X2" s="650"/>
    </row>
    <row r="4" spans="1:24" ht="21.75" customHeight="1">
      <c r="A4" s="732" t="s">
        <v>768</v>
      </c>
      <c r="B4" s="732"/>
      <c r="C4" s="732" t="s">
        <v>769</v>
      </c>
      <c r="D4" s="732"/>
      <c r="E4" s="732" t="s">
        <v>770</v>
      </c>
      <c r="F4" s="732"/>
      <c r="G4" s="732"/>
      <c r="H4" s="732"/>
      <c r="I4" s="732"/>
      <c r="J4" s="732"/>
      <c r="K4" s="732"/>
      <c r="L4" s="732"/>
      <c r="M4" s="732" t="s">
        <v>771</v>
      </c>
      <c r="N4" s="732"/>
      <c r="O4" s="732"/>
      <c r="P4" s="732"/>
      <c r="Q4" s="732"/>
      <c r="R4" s="732"/>
      <c r="S4" s="732"/>
      <c r="T4" s="732"/>
      <c r="U4" s="732" t="s">
        <v>772</v>
      </c>
      <c r="V4" s="732"/>
      <c r="W4" s="732"/>
      <c r="X4" s="732"/>
    </row>
    <row r="5" spans="1:24" ht="39.75" customHeight="1">
      <c r="A5" s="589" t="s">
        <v>562</v>
      </c>
      <c r="B5" s="589" t="s">
        <v>563</v>
      </c>
      <c r="C5" s="589" t="s">
        <v>773</v>
      </c>
      <c r="D5" s="589" t="s">
        <v>774</v>
      </c>
      <c r="E5" s="589" t="s">
        <v>569</v>
      </c>
      <c r="F5" s="589" t="s">
        <v>570</v>
      </c>
      <c r="G5" s="589" t="s">
        <v>571</v>
      </c>
      <c r="H5" s="589" t="s">
        <v>572</v>
      </c>
      <c r="I5" s="589" t="s">
        <v>573</v>
      </c>
      <c r="J5" s="589" t="s">
        <v>574</v>
      </c>
      <c r="K5" s="589" t="s">
        <v>575</v>
      </c>
      <c r="L5" s="589" t="s">
        <v>576</v>
      </c>
      <c r="M5" s="589" t="s">
        <v>569</v>
      </c>
      <c r="N5" s="589" t="s">
        <v>570</v>
      </c>
      <c r="O5" s="589" t="s">
        <v>571</v>
      </c>
      <c r="P5" s="589" t="s">
        <v>572</v>
      </c>
      <c r="Q5" s="589" t="s">
        <v>573</v>
      </c>
      <c r="R5" s="589" t="s">
        <v>574</v>
      </c>
      <c r="S5" s="589" t="s">
        <v>575</v>
      </c>
      <c r="T5" s="589" t="s">
        <v>576</v>
      </c>
      <c r="U5" s="589" t="s">
        <v>775</v>
      </c>
      <c r="V5" s="589" t="s">
        <v>776</v>
      </c>
      <c r="W5" s="589" t="s">
        <v>777</v>
      </c>
      <c r="X5" s="589" t="s">
        <v>778</v>
      </c>
    </row>
    <row r="6" spans="1:24">
      <c r="A6" s="604">
        <f>'CADASTRO V-T e ISS'!A6</f>
        <v>1</v>
      </c>
      <c r="B6" s="605" t="str">
        <f>'CADASTRO V-T e ISS'!B6</f>
        <v>Abaiara</v>
      </c>
      <c r="C6" s="606">
        <f>IF('CADASTRO V-T e ISS'!C6="SIM",'CADASTRO V-T e ISS'!D6*'CADASTRO V-T e ISS'!E6*'CADASTRO V-T e ISS'!F6,0)</f>
        <v>0</v>
      </c>
      <c r="D6" s="607">
        <f>'CADASTRO V-T e ISS'!G6</f>
        <v>0</v>
      </c>
      <c r="E6" s="621">
        <f>(('VALOR POSTOS MÊS '!E40+('VALOR POSTOS MÊS '!E48+'VALOR POSTOS MÊS '!E62+(MAX(0,$C6-0.06*'VALOR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'!$D$149-$D6)</f>
        <v>8428.8640036363649</v>
      </c>
      <c r="F6" s="621">
        <f>(('VALOR POSTOS MÊS '!F40+('VALOR POSTOS MÊS '!F48+'VALOR POSTOS MÊS '!F62+(MAX(0,$C6-0.06*'VALOR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'!$D$149-$D6)</f>
        <v>8281.6094581818197</v>
      </c>
      <c r="G6" s="621">
        <f>(('VALOR POSTOS MÊS '!G40+('VALOR POSTOS MÊS '!G48+'VALOR POSTOS MÊS '!G62+(MAX(0,$C6-0.06*'VALOR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'!$D$149-$D6)</f>
        <v>10267.560367272728</v>
      </c>
      <c r="H6" s="621">
        <f>(('VALOR POSTOS MÊS '!H40+('VALOR POSTOS MÊS '!H48+'VALOR POSTOS MÊS '!H62+(MAX(0,$C6-0.06*'VALOR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'!$D$149-$D6)</f>
        <v>12184.771276363639</v>
      </c>
      <c r="I6" s="621">
        <f>(('VALOR POSTOS MÊS '!I40+('VALOR POSTOS MÊS '!I48+'VALOR POSTOS MÊS '!I62+(MAX(0,$C6-0.06*'VALOR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'!$D$149-$D6)</f>
        <v>15820.113094545455</v>
      </c>
      <c r="J6" s="621">
        <f>(('VALOR POSTOS MÊS '!J40+('VALOR POSTOS MÊS '!J48+'VALOR POSTOS MÊS '!J62+(MAX(0,$C6-0.06*'VALOR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'!$D$149-$D6)</f>
        <v>19964.125821818187</v>
      </c>
      <c r="K6" s="621">
        <f>(('VALOR POSTOS MÊS '!K40+('VALOR POSTOS MÊS '!K48+'VALOR POSTOS MÊS '!K62+(MAX(0,$C6-0.06*'VALOR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'!$D$149-$D6)</f>
        <v>10555.705821818183</v>
      </c>
      <c r="L6" s="621">
        <f>(('VALOR POSTOS MÊS '!L40+('VALOR POSTOS MÊS '!L48+'VALOR POSTOS MÊS '!L62+(MAX(0,$C6-0.06*'VALOR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'!$D$149-$D6)</f>
        <v>10285.696730909092</v>
      </c>
      <c r="M6" s="604">
        <f>'CADASTRO V-T e ISS'!H6</f>
        <v>0</v>
      </c>
      <c r="N6" s="604">
        <v>0</v>
      </c>
      <c r="O6" s="604">
        <v>0</v>
      </c>
      <c r="P6" s="604">
        <v>0</v>
      </c>
      <c r="Q6" s="604">
        <v>0</v>
      </c>
      <c r="R6" s="604">
        <v>0</v>
      </c>
      <c r="S6" s="604">
        <v>0</v>
      </c>
      <c r="T6" s="604">
        <v>0</v>
      </c>
      <c r="U6" s="608">
        <f t="shared" ref="U6:U37" si="0">SUMPRODUCT(E6:L6,M6:T6)</f>
        <v>0</v>
      </c>
      <c r="V6" s="608">
        <f t="shared" ref="V6:V37" si="1">U6*0.02</f>
        <v>0</v>
      </c>
      <c r="W6" s="608">
        <f t="shared" ref="W6:W37" si="2">U6+V6</f>
        <v>0</v>
      </c>
      <c r="X6" s="608">
        <f t="shared" ref="X6:X37" si="3">W6*24</f>
        <v>0</v>
      </c>
    </row>
    <row r="7" spans="1:24">
      <c r="A7" s="604">
        <f>'CADASTRO V-T e ISS'!A7</f>
        <v>2</v>
      </c>
      <c r="B7" s="605" t="str">
        <f>'CADASTRO V-T e ISS'!B7</f>
        <v>Acarape</v>
      </c>
      <c r="C7" s="606">
        <f>IF('CADASTRO V-T e ISS'!C7="SIM",'CADASTRO V-T e ISS'!D7*'CADASTRO V-T e ISS'!E7*'CADASTRO V-T e ISS'!F7,0)</f>
        <v>0</v>
      </c>
      <c r="D7" s="607">
        <f>'CADASTRO V-T e ISS'!G7</f>
        <v>0</v>
      </c>
      <c r="E7" s="621">
        <f>(('VALOR POSTOS MÊS '!E40+('VALOR POSTOS MÊS '!E48+'VALOR POSTOS MÊS '!E62+(MAX(0,$C7-0.06*'VALOR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'!$D$149-$D7)</f>
        <v>8428.8640036363649</v>
      </c>
      <c r="F7" s="621">
        <f>(('VALOR POSTOS MÊS '!F40+('VALOR POSTOS MÊS '!F48+'VALOR POSTOS MÊS '!F62+(MAX(0,$C7-0.06*'VALOR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'!$D$149-$D7)</f>
        <v>8281.6094581818197</v>
      </c>
      <c r="G7" s="621">
        <f>(('VALOR POSTOS MÊS '!G40+('VALOR POSTOS MÊS '!G48+'VALOR POSTOS MÊS '!G62+(MAX(0,$C7-0.06*'VALOR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'!$D$149-$D7)</f>
        <v>10267.560367272728</v>
      </c>
      <c r="H7" s="621">
        <f>(('VALOR POSTOS MÊS '!H40+('VALOR POSTOS MÊS '!H48+'VALOR POSTOS MÊS '!H62+(MAX(0,$C7-0.06*'VALOR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'!$D$149-$D7)</f>
        <v>12184.771276363639</v>
      </c>
      <c r="I7" s="621">
        <f>(('VALOR POSTOS MÊS '!I40+('VALOR POSTOS MÊS '!I48+'VALOR POSTOS MÊS '!I62+(MAX(0,$C7-0.06*'VALOR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'!$D$149-$D7)</f>
        <v>15820.113094545455</v>
      </c>
      <c r="J7" s="621">
        <f>(('VALOR POSTOS MÊS '!J40+('VALOR POSTOS MÊS '!J48+'VALOR POSTOS MÊS '!J62+(MAX(0,$C7-0.06*'VALOR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'!$D$149-$D7)</f>
        <v>19964.125821818187</v>
      </c>
      <c r="K7" s="621">
        <f>(('VALOR POSTOS MÊS '!K40+('VALOR POSTOS MÊS '!K48+'VALOR POSTOS MÊS '!K62+(MAX(0,$C7-0.06*'VALOR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'!$D$149-$D7)</f>
        <v>10555.705821818183</v>
      </c>
      <c r="L7" s="621">
        <f>(('VALOR POSTOS MÊS '!L40+('VALOR POSTOS MÊS '!L48+'VALOR POSTOS MÊS '!L62+(MAX(0,$C7-0.06*'VALOR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'!$D$149-$D7)</f>
        <v>10285.696730909092</v>
      </c>
      <c r="M7" s="604">
        <f>'CADASTRO V-T e ISS'!H7</f>
        <v>0</v>
      </c>
      <c r="N7" s="604">
        <f>'CADASTRO V-T e ISS'!I7</f>
        <v>0</v>
      </c>
      <c r="O7" s="604">
        <f>'CADASTRO V-T e ISS'!J7</f>
        <v>0</v>
      </c>
      <c r="P7" s="604">
        <f>'CADASTRO V-T e ISS'!K7</f>
        <v>0</v>
      </c>
      <c r="Q7" s="604">
        <f>'CADASTRO V-T e ISS'!L7</f>
        <v>0</v>
      </c>
      <c r="R7" s="604">
        <f>'CADASTRO V-T e ISS'!M7</f>
        <v>0</v>
      </c>
      <c r="S7" s="604">
        <f>'CADASTRO V-T e ISS'!N7</f>
        <v>0</v>
      </c>
      <c r="T7" s="604">
        <f>'CADASTRO V-T e ISS'!O7</f>
        <v>0</v>
      </c>
      <c r="U7" s="608">
        <f t="shared" si="0"/>
        <v>0</v>
      </c>
      <c r="V7" s="608">
        <f t="shared" si="1"/>
        <v>0</v>
      </c>
      <c r="W7" s="608">
        <f t="shared" si="2"/>
        <v>0</v>
      </c>
      <c r="X7" s="608">
        <f t="shared" si="3"/>
        <v>0</v>
      </c>
    </row>
    <row r="8" spans="1:24">
      <c r="A8" s="604">
        <f>'CADASTRO V-T e ISS'!A8</f>
        <v>3</v>
      </c>
      <c r="B8" s="605" t="str">
        <f>'CADASTRO V-T e ISS'!B8</f>
        <v>Acaraú</v>
      </c>
      <c r="C8" s="606">
        <f>IF('CADASTRO V-T e ISS'!C8="SIM",'CADASTRO V-T e ISS'!D8*'CADASTRO V-T e ISS'!E8*'CADASTRO V-T e ISS'!F8,0)</f>
        <v>0</v>
      </c>
      <c r="D8" s="607">
        <f>'CADASTRO V-T e ISS'!G8</f>
        <v>0</v>
      </c>
      <c r="E8" s="621">
        <f>(('VALOR POSTOS MÊS '!E40+('VALOR POSTOS MÊS '!E48+'VALOR POSTOS MÊS '!E62+(MAX(0,$C8-0.06*'VALOR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'!$D$149-$D8)</f>
        <v>8428.8640036363649</v>
      </c>
      <c r="F8" s="621">
        <f>(('VALOR POSTOS MÊS '!F40+('VALOR POSTOS MÊS '!F48+'VALOR POSTOS MÊS '!F62+(MAX(0,$C8-0.06*'VALOR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'!$D$149-$D8)</f>
        <v>8281.6094581818197</v>
      </c>
      <c r="G8" s="621">
        <f>(('VALOR POSTOS MÊS '!G40+('VALOR POSTOS MÊS '!G48+'VALOR POSTOS MÊS '!G62+(MAX(0,$C8-0.06*'VALOR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'!$D$149-$D8)</f>
        <v>10267.560367272728</v>
      </c>
      <c r="H8" s="621">
        <f>(('VALOR POSTOS MÊS '!H40+('VALOR POSTOS MÊS '!H48+'VALOR POSTOS MÊS '!H62+(MAX(0,$C8-0.06*'VALOR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'!$D$149-$D8)</f>
        <v>12184.771276363639</v>
      </c>
      <c r="I8" s="621">
        <f>(('VALOR POSTOS MÊS '!I40+('VALOR POSTOS MÊS '!I48+'VALOR POSTOS MÊS '!I62+(MAX(0,$C8-0.06*'VALOR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'!$D$149-$D8)</f>
        <v>15820.113094545455</v>
      </c>
      <c r="J8" s="621">
        <f>(('VALOR POSTOS MÊS '!J40+('VALOR POSTOS MÊS '!J48+'VALOR POSTOS MÊS '!J62+(MAX(0,$C8-0.06*'VALOR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'!$D$149-$D8)</f>
        <v>19964.125821818187</v>
      </c>
      <c r="K8" s="621">
        <f>(('VALOR POSTOS MÊS '!K40+('VALOR POSTOS MÊS '!K48+'VALOR POSTOS MÊS '!K62+(MAX(0,$C8-0.06*'VALOR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'!$D$149-$D8)</f>
        <v>10555.705821818183</v>
      </c>
      <c r="L8" s="621">
        <f>(('VALOR POSTOS MÊS '!L40+('VALOR POSTOS MÊS '!L48+'VALOR POSTOS MÊS '!L62+(MAX(0,$C8-0.06*'VALOR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'!$D$149-$D8)</f>
        <v>10285.696730909092</v>
      </c>
      <c r="M8" s="604">
        <f>'CADASTRO V-T e ISS'!H8</f>
        <v>1</v>
      </c>
      <c r="N8" s="604">
        <f>'CADASTRO V-T e ISS'!I8</f>
        <v>2</v>
      </c>
      <c r="O8" s="604">
        <f>'CADASTRO V-T e ISS'!J8</f>
        <v>0</v>
      </c>
      <c r="P8" s="604">
        <f>'CADASTRO V-T e ISS'!K8</f>
        <v>0</v>
      </c>
      <c r="Q8" s="604">
        <f>'CADASTRO V-T e ISS'!L8</f>
        <v>0</v>
      </c>
      <c r="R8" s="604">
        <f>'CADASTRO V-T e ISS'!M8</f>
        <v>0</v>
      </c>
      <c r="S8" s="604">
        <f>'CADASTRO V-T e ISS'!N8</f>
        <v>0</v>
      </c>
      <c r="T8" s="604">
        <f>'CADASTRO V-T e ISS'!O8</f>
        <v>0</v>
      </c>
      <c r="U8" s="608">
        <f t="shared" si="0"/>
        <v>24992.082920000004</v>
      </c>
      <c r="V8" s="608">
        <f t="shared" si="1"/>
        <v>499.84165840000009</v>
      </c>
      <c r="W8" s="608">
        <f t="shared" si="2"/>
        <v>25491.924578400005</v>
      </c>
      <c r="X8" s="608">
        <f t="shared" si="3"/>
        <v>611806.18988160009</v>
      </c>
    </row>
    <row r="9" spans="1:24">
      <c r="A9" s="604">
        <f>'CADASTRO V-T e ISS'!A9</f>
        <v>4</v>
      </c>
      <c r="B9" s="605" t="str">
        <f>'CADASTRO V-T e ISS'!B9</f>
        <v>Acopiara</v>
      </c>
      <c r="C9" s="606">
        <f>IF('CADASTRO V-T e ISS'!C9="SIM",'CADASTRO V-T e ISS'!D9*'CADASTRO V-T e ISS'!E9*'CADASTRO V-T e ISS'!F9,0)</f>
        <v>0</v>
      </c>
      <c r="D9" s="607">
        <f>'CADASTRO V-T e ISS'!G9</f>
        <v>0</v>
      </c>
      <c r="E9" s="621">
        <f>(('VALOR POSTOS MÊS '!E40+('VALOR POSTOS MÊS '!E48+'VALOR POSTOS MÊS '!E62+(MAX(0,$C9-0.06*'VALOR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'!$D$149-$D9)</f>
        <v>8428.8640036363649</v>
      </c>
      <c r="F9" s="621">
        <f>(('VALOR POSTOS MÊS '!F40+('VALOR POSTOS MÊS '!F48+'VALOR POSTOS MÊS '!F62+(MAX(0,$C9-0.06*'VALOR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'!$D$149-$D9)</f>
        <v>8281.6094581818197</v>
      </c>
      <c r="G9" s="621">
        <f>(('VALOR POSTOS MÊS '!G40+('VALOR POSTOS MÊS '!G48+'VALOR POSTOS MÊS '!G62+(MAX(0,$C9-0.06*'VALOR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'!$D$149-$D9)</f>
        <v>10267.560367272728</v>
      </c>
      <c r="H9" s="621">
        <f>(('VALOR POSTOS MÊS '!H40+('VALOR POSTOS MÊS '!H48+'VALOR POSTOS MÊS '!H62+(MAX(0,$C9-0.06*'VALOR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'!$D$149-$D9)</f>
        <v>12184.771276363639</v>
      </c>
      <c r="I9" s="621">
        <f>(('VALOR POSTOS MÊS '!I40+('VALOR POSTOS MÊS '!I48+'VALOR POSTOS MÊS '!I62+(MAX(0,$C9-0.06*'VALOR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'!$D$149-$D9)</f>
        <v>15820.113094545455</v>
      </c>
      <c r="J9" s="621">
        <f>(('VALOR POSTOS MÊS '!J40+('VALOR POSTOS MÊS '!J48+'VALOR POSTOS MÊS '!J62+(MAX(0,$C9-0.06*'VALOR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'!$D$149-$D9)</f>
        <v>19964.125821818187</v>
      </c>
      <c r="K9" s="621">
        <f>(('VALOR POSTOS MÊS '!K40+('VALOR POSTOS MÊS '!K48+'VALOR POSTOS MÊS '!K62+(MAX(0,$C9-0.06*'VALOR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'!$D$149-$D9)</f>
        <v>10555.705821818183</v>
      </c>
      <c r="L9" s="621">
        <f>(('VALOR POSTOS MÊS '!L40+('VALOR POSTOS MÊS '!L48+'VALOR POSTOS MÊS '!L62+(MAX(0,$C9-0.06*'VALOR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'!$D$149-$D9)</f>
        <v>10285.696730909092</v>
      </c>
      <c r="M9" s="604">
        <f>'CADASTRO V-T e ISS'!H9</f>
        <v>1</v>
      </c>
      <c r="N9" s="604">
        <f>'CADASTRO V-T e ISS'!I9</f>
        <v>2</v>
      </c>
      <c r="O9" s="604">
        <f>'CADASTRO V-T e ISS'!J9</f>
        <v>0</v>
      </c>
      <c r="P9" s="604">
        <f>'CADASTRO V-T e ISS'!K9</f>
        <v>0</v>
      </c>
      <c r="Q9" s="604">
        <f>'CADASTRO V-T e ISS'!L9</f>
        <v>0</v>
      </c>
      <c r="R9" s="604">
        <f>'CADASTRO V-T e ISS'!M9</f>
        <v>0</v>
      </c>
      <c r="S9" s="604">
        <f>'CADASTRO V-T e ISS'!N9</f>
        <v>0</v>
      </c>
      <c r="T9" s="604">
        <f>'CADASTRO V-T e ISS'!O9</f>
        <v>0</v>
      </c>
      <c r="U9" s="608">
        <f t="shared" si="0"/>
        <v>24992.082920000004</v>
      </c>
      <c r="V9" s="608">
        <f t="shared" si="1"/>
        <v>499.84165840000009</v>
      </c>
      <c r="W9" s="608">
        <f t="shared" si="2"/>
        <v>25491.924578400005</v>
      </c>
      <c r="X9" s="608">
        <f t="shared" si="3"/>
        <v>611806.18988160009</v>
      </c>
    </row>
    <row r="10" spans="1:24">
      <c r="A10" s="604">
        <f>'CADASTRO V-T e ISS'!A10</f>
        <v>5</v>
      </c>
      <c r="B10" s="605" t="str">
        <f>'CADASTRO V-T e ISS'!B10</f>
        <v>Aiuaba</v>
      </c>
      <c r="C10" s="606">
        <f>IF('CADASTRO V-T e ISS'!C10="SIM",'CADASTRO V-T e ISS'!D10*'CADASTRO V-T e ISS'!E10*'CADASTRO V-T e ISS'!F10,0)</f>
        <v>0</v>
      </c>
      <c r="D10" s="607">
        <f>'CADASTRO V-T e ISS'!G10</f>
        <v>0</v>
      </c>
      <c r="E10" s="621">
        <f>(('VALOR POSTOS MÊS '!E40+('VALOR POSTOS MÊS '!E48+'VALOR POSTOS MÊS '!E62+(MAX(0,$C10-0.06*'VALOR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'!$D$149-$D10)</f>
        <v>8428.8640036363649</v>
      </c>
      <c r="F10" s="621">
        <f>(('VALOR POSTOS MÊS '!F40+('VALOR POSTOS MÊS '!F48+'VALOR POSTOS MÊS '!F62+(MAX(0,$C10-0.06*'VALOR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'!$D$149-$D10)</f>
        <v>8281.6094581818197</v>
      </c>
      <c r="G10" s="621">
        <f>(('VALOR POSTOS MÊS '!G40+('VALOR POSTOS MÊS '!G48+'VALOR POSTOS MÊS '!G62+(MAX(0,$C10-0.06*'VALOR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'!$D$149-$D10)</f>
        <v>10267.560367272728</v>
      </c>
      <c r="H10" s="621">
        <f>(('VALOR POSTOS MÊS '!H40+('VALOR POSTOS MÊS '!H48+'VALOR POSTOS MÊS '!H62+(MAX(0,$C10-0.06*'VALOR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'!$D$149-$D10)</f>
        <v>12184.771276363639</v>
      </c>
      <c r="I10" s="621">
        <f>(('VALOR POSTOS MÊS '!I40+('VALOR POSTOS MÊS '!I48+'VALOR POSTOS MÊS '!I62+(MAX(0,$C10-0.06*'VALOR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'!$D$149-$D10)</f>
        <v>15820.113094545455</v>
      </c>
      <c r="J10" s="621">
        <f>(('VALOR POSTOS MÊS '!J40+('VALOR POSTOS MÊS '!J48+'VALOR POSTOS MÊS '!J62+(MAX(0,$C10-0.06*'VALOR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'!$D$149-$D10)</f>
        <v>19964.125821818187</v>
      </c>
      <c r="K10" s="621">
        <f>(('VALOR POSTOS MÊS '!K40+('VALOR POSTOS MÊS '!K48+'VALOR POSTOS MÊS '!K62+(MAX(0,$C10-0.06*'VALOR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'!$D$149-$D10)</f>
        <v>10555.705821818183</v>
      </c>
      <c r="L10" s="621">
        <f>(('VALOR POSTOS MÊS '!L40+('VALOR POSTOS MÊS '!L48+'VALOR POSTOS MÊS '!L62+(MAX(0,$C10-0.06*'VALOR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'!$D$149-$D10)</f>
        <v>10285.696730909092</v>
      </c>
      <c r="M10" s="604">
        <f>'CADASTRO V-T e ISS'!H10</f>
        <v>1</v>
      </c>
      <c r="N10" s="604">
        <f>'CADASTRO V-T e ISS'!I10</f>
        <v>1</v>
      </c>
      <c r="O10" s="604">
        <f>'CADASTRO V-T e ISS'!J10</f>
        <v>0</v>
      </c>
      <c r="P10" s="604">
        <f>'CADASTRO V-T e ISS'!K10</f>
        <v>0</v>
      </c>
      <c r="Q10" s="604">
        <f>'CADASTRO V-T e ISS'!L10</f>
        <v>0</v>
      </c>
      <c r="R10" s="604">
        <f>'CADASTRO V-T e ISS'!M10</f>
        <v>0</v>
      </c>
      <c r="S10" s="604">
        <f>'CADASTRO V-T e ISS'!N10</f>
        <v>0</v>
      </c>
      <c r="T10" s="604">
        <f>'CADASTRO V-T e ISS'!O10</f>
        <v>0</v>
      </c>
      <c r="U10" s="608">
        <f t="shared" si="0"/>
        <v>16710.473461818183</v>
      </c>
      <c r="V10" s="608">
        <f t="shared" si="1"/>
        <v>334.20946923636365</v>
      </c>
      <c r="W10" s="608">
        <f t="shared" si="2"/>
        <v>17044.682931054547</v>
      </c>
      <c r="X10" s="608">
        <f t="shared" si="3"/>
        <v>409072.39034530916</v>
      </c>
    </row>
    <row r="11" spans="1:24">
      <c r="A11" s="604">
        <f>'CADASTRO V-T e ISS'!A11</f>
        <v>6</v>
      </c>
      <c r="B11" s="605" t="str">
        <f>'CADASTRO V-T e ISS'!B11</f>
        <v>Alcântaras</v>
      </c>
      <c r="C11" s="606">
        <f>IF('CADASTRO V-T e ISS'!C11="SIM",'CADASTRO V-T e ISS'!D11*'CADASTRO V-T e ISS'!E11*'CADASTRO V-T e ISS'!F11,0)</f>
        <v>0</v>
      </c>
      <c r="D11" s="607">
        <f>'CADASTRO V-T e ISS'!G11</f>
        <v>0</v>
      </c>
      <c r="E11" s="621">
        <f>(('VALOR POSTOS MÊS '!E40+('VALOR POSTOS MÊS '!E48+'VALOR POSTOS MÊS '!E62+(MAX(0,$C11-0.06*'VALOR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'!$D$149-$D11)</f>
        <v>8428.8640036363649</v>
      </c>
      <c r="F11" s="621">
        <f>(('VALOR POSTOS MÊS '!F40+('VALOR POSTOS MÊS '!F48+'VALOR POSTOS MÊS '!F62+(MAX(0,$C11-0.06*'VALOR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'!$D$149-$D11)</f>
        <v>8281.6094581818197</v>
      </c>
      <c r="G11" s="621">
        <f>(('VALOR POSTOS MÊS '!G40+('VALOR POSTOS MÊS '!G48+'VALOR POSTOS MÊS '!G62+(MAX(0,$C11-0.06*'VALOR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'!$D$149-$D11)</f>
        <v>10267.560367272728</v>
      </c>
      <c r="H11" s="621">
        <f>(('VALOR POSTOS MÊS '!H40+('VALOR POSTOS MÊS '!H48+'VALOR POSTOS MÊS '!H62+(MAX(0,$C11-0.06*'VALOR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'!$D$149-$D11)</f>
        <v>12184.771276363639</v>
      </c>
      <c r="I11" s="621">
        <f>(('VALOR POSTOS MÊS '!I40+('VALOR POSTOS MÊS '!I48+'VALOR POSTOS MÊS '!I62+(MAX(0,$C11-0.06*'VALOR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'!$D$149-$D11)</f>
        <v>15820.113094545455</v>
      </c>
      <c r="J11" s="621">
        <f>(('VALOR POSTOS MÊS '!J40+('VALOR POSTOS MÊS '!J48+'VALOR POSTOS MÊS '!J62+(MAX(0,$C11-0.06*'VALOR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'!$D$149-$D11)</f>
        <v>19964.125821818187</v>
      </c>
      <c r="K11" s="621">
        <f>(('VALOR POSTOS MÊS '!K40+('VALOR POSTOS MÊS '!K48+'VALOR POSTOS MÊS '!K62+(MAX(0,$C11-0.06*'VALOR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'!$D$149-$D11)</f>
        <v>10555.705821818183</v>
      </c>
      <c r="L11" s="621">
        <f>(('VALOR POSTOS MÊS '!L40+('VALOR POSTOS MÊS '!L48+'VALOR POSTOS MÊS '!L62+(MAX(0,$C11-0.06*'VALOR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'!$D$149-$D11)</f>
        <v>10285.696730909092</v>
      </c>
      <c r="M11" s="604">
        <f>'CADASTRO V-T e ISS'!H11</f>
        <v>0</v>
      </c>
      <c r="N11" s="604">
        <f>'CADASTRO V-T e ISS'!I11</f>
        <v>0</v>
      </c>
      <c r="O11" s="604">
        <f>'CADASTRO V-T e ISS'!J11</f>
        <v>0</v>
      </c>
      <c r="P11" s="604">
        <f>'CADASTRO V-T e ISS'!K11</f>
        <v>0</v>
      </c>
      <c r="Q11" s="604">
        <f>'CADASTRO V-T e ISS'!L11</f>
        <v>0</v>
      </c>
      <c r="R11" s="604">
        <f>'CADASTRO V-T e ISS'!M11</f>
        <v>0</v>
      </c>
      <c r="S11" s="604">
        <f>'CADASTRO V-T e ISS'!N11</f>
        <v>0</v>
      </c>
      <c r="T11" s="604">
        <f>'CADASTRO V-T e ISS'!O11</f>
        <v>0</v>
      </c>
      <c r="U11" s="608">
        <f t="shared" si="0"/>
        <v>0</v>
      </c>
      <c r="V11" s="608">
        <f t="shared" si="1"/>
        <v>0</v>
      </c>
      <c r="W11" s="608">
        <f t="shared" si="2"/>
        <v>0</v>
      </c>
      <c r="X11" s="608">
        <f t="shared" si="3"/>
        <v>0</v>
      </c>
    </row>
    <row r="12" spans="1:24">
      <c r="A12" s="604">
        <f>'CADASTRO V-T e ISS'!A12</f>
        <v>7</v>
      </c>
      <c r="B12" s="605" t="str">
        <f>'CADASTRO V-T e ISS'!B12</f>
        <v>Altaneira</v>
      </c>
      <c r="C12" s="606">
        <f>IF('CADASTRO V-T e ISS'!C12="SIM",'CADASTRO V-T e ISS'!D12*'CADASTRO V-T e ISS'!E12*'CADASTRO V-T e ISS'!F12,0)</f>
        <v>0</v>
      </c>
      <c r="D12" s="607">
        <f>'CADASTRO V-T e ISS'!G12</f>
        <v>0</v>
      </c>
      <c r="E12" s="621">
        <f>(('VALOR POSTOS MÊS '!E40+('VALOR POSTOS MÊS '!E48+'VALOR POSTOS MÊS '!E62+(MAX(0,$C12-0.06*'VALOR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'!$D$149-$D12)</f>
        <v>8428.8640036363649</v>
      </c>
      <c r="F12" s="621">
        <f>(('VALOR POSTOS MÊS '!F40+('VALOR POSTOS MÊS '!F48+'VALOR POSTOS MÊS '!F62+(MAX(0,$C12-0.06*'VALOR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'!$D$149-$D12)</f>
        <v>8281.6094581818197</v>
      </c>
      <c r="G12" s="621">
        <f>(('VALOR POSTOS MÊS '!G40+('VALOR POSTOS MÊS '!G48+'VALOR POSTOS MÊS '!G62+(MAX(0,$C12-0.06*'VALOR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'!$D$149-$D12)</f>
        <v>10267.560367272728</v>
      </c>
      <c r="H12" s="621">
        <f>(('VALOR POSTOS MÊS '!H40+('VALOR POSTOS MÊS '!H48+'VALOR POSTOS MÊS '!H62+(MAX(0,$C12-0.06*'VALOR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'!$D$149-$D12)</f>
        <v>12184.771276363639</v>
      </c>
      <c r="I12" s="621">
        <f>(('VALOR POSTOS MÊS '!I40+('VALOR POSTOS MÊS '!I48+'VALOR POSTOS MÊS '!I62+(MAX(0,$C12-0.06*'VALOR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'!$D$149-$D12)</f>
        <v>15820.113094545455</v>
      </c>
      <c r="J12" s="621">
        <f>(('VALOR POSTOS MÊS '!J40+('VALOR POSTOS MÊS '!J48+'VALOR POSTOS MÊS '!J62+(MAX(0,$C12-0.06*'VALOR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'!$D$149-$D12)</f>
        <v>19964.125821818187</v>
      </c>
      <c r="K12" s="621">
        <f>(('VALOR POSTOS MÊS '!K40+('VALOR POSTOS MÊS '!K48+'VALOR POSTOS MÊS '!K62+(MAX(0,$C12-0.06*'VALOR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'!$D$149-$D12)</f>
        <v>10555.705821818183</v>
      </c>
      <c r="L12" s="621">
        <f>(('VALOR POSTOS MÊS '!L40+('VALOR POSTOS MÊS '!L48+'VALOR POSTOS MÊS '!L62+(MAX(0,$C12-0.06*'VALOR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'!$D$149-$D12)</f>
        <v>10285.696730909092</v>
      </c>
      <c r="M12" s="604">
        <f>'CADASTRO V-T e ISS'!H12</f>
        <v>0</v>
      </c>
      <c r="N12" s="604">
        <f>'CADASTRO V-T e ISS'!I12</f>
        <v>0</v>
      </c>
      <c r="O12" s="604">
        <f>'CADASTRO V-T e ISS'!J12</f>
        <v>0</v>
      </c>
      <c r="P12" s="604">
        <f>'CADASTRO V-T e ISS'!K12</f>
        <v>0</v>
      </c>
      <c r="Q12" s="604">
        <f>'CADASTRO V-T e ISS'!L12</f>
        <v>0</v>
      </c>
      <c r="R12" s="604">
        <f>'CADASTRO V-T e ISS'!M12</f>
        <v>0</v>
      </c>
      <c r="S12" s="604">
        <f>'CADASTRO V-T e ISS'!N12</f>
        <v>0</v>
      </c>
      <c r="T12" s="604">
        <f>'CADASTRO V-T e ISS'!O12</f>
        <v>0</v>
      </c>
      <c r="U12" s="608">
        <f t="shared" si="0"/>
        <v>0</v>
      </c>
      <c r="V12" s="608">
        <f t="shared" si="1"/>
        <v>0</v>
      </c>
      <c r="W12" s="608">
        <f t="shared" si="2"/>
        <v>0</v>
      </c>
      <c r="X12" s="608">
        <f t="shared" si="3"/>
        <v>0</v>
      </c>
    </row>
    <row r="13" spans="1:24">
      <c r="A13" s="604">
        <f>'CADASTRO V-T e ISS'!A13</f>
        <v>8</v>
      </c>
      <c r="B13" s="605" t="str">
        <f>'CADASTRO V-T e ISS'!B13</f>
        <v>Alto Santo</v>
      </c>
      <c r="C13" s="606">
        <f>IF('CADASTRO V-T e ISS'!C13="SIM",'CADASTRO V-T e ISS'!D13*'CADASTRO V-T e ISS'!E13*'CADASTRO V-T e ISS'!F13,0)</f>
        <v>0</v>
      </c>
      <c r="D13" s="607">
        <f>'CADASTRO V-T e ISS'!G13</f>
        <v>0</v>
      </c>
      <c r="E13" s="621">
        <f>(('VALOR POSTOS MÊS '!E40+('VALOR POSTOS MÊS '!E48+'VALOR POSTOS MÊS '!E62+(MAX(0,$C13-0.06*'VALOR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'!$D$149-$D13)</f>
        <v>8428.8640036363649</v>
      </c>
      <c r="F13" s="621">
        <f>(('VALOR POSTOS MÊS '!F40+('VALOR POSTOS MÊS '!F48+'VALOR POSTOS MÊS '!F62+(MAX(0,$C13-0.06*'VALOR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'!$D$149-$D13)</f>
        <v>8281.6094581818197</v>
      </c>
      <c r="G13" s="621">
        <f>(('VALOR POSTOS MÊS '!G40+('VALOR POSTOS MÊS '!G48+'VALOR POSTOS MÊS '!G62+(MAX(0,$C13-0.06*'VALOR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'!$D$149-$D13)</f>
        <v>10267.560367272728</v>
      </c>
      <c r="H13" s="621">
        <f>(('VALOR POSTOS MÊS '!H40+('VALOR POSTOS MÊS '!H48+'VALOR POSTOS MÊS '!H62+(MAX(0,$C13-0.06*'VALOR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'!$D$149-$D13)</f>
        <v>12184.771276363639</v>
      </c>
      <c r="I13" s="621">
        <f>(('VALOR POSTOS MÊS '!I40+('VALOR POSTOS MÊS '!I48+'VALOR POSTOS MÊS '!I62+(MAX(0,$C13-0.06*'VALOR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'!$D$149-$D13)</f>
        <v>15820.113094545455</v>
      </c>
      <c r="J13" s="621">
        <f>(('VALOR POSTOS MÊS '!J40+('VALOR POSTOS MÊS '!J48+'VALOR POSTOS MÊS '!J62+(MAX(0,$C13-0.06*'VALOR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'!$D$149-$D13)</f>
        <v>19964.125821818187</v>
      </c>
      <c r="K13" s="621">
        <f>(('VALOR POSTOS MÊS '!K40+('VALOR POSTOS MÊS '!K48+'VALOR POSTOS MÊS '!K62+(MAX(0,$C13-0.06*'VALOR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'!$D$149-$D13)</f>
        <v>10555.705821818183</v>
      </c>
      <c r="L13" s="621">
        <f>(('VALOR POSTOS MÊS '!L40+('VALOR POSTOS MÊS '!L48+'VALOR POSTOS MÊS '!L62+(MAX(0,$C13-0.06*'VALOR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'!$D$149-$D13)</f>
        <v>10285.696730909092</v>
      </c>
      <c r="M13" s="604">
        <f>'CADASTRO V-T e ISS'!H13</f>
        <v>1</v>
      </c>
      <c r="N13" s="604">
        <f>'CADASTRO V-T e ISS'!I13</f>
        <v>1</v>
      </c>
      <c r="O13" s="604">
        <f>'CADASTRO V-T e ISS'!J13</f>
        <v>0</v>
      </c>
      <c r="P13" s="604">
        <f>'CADASTRO V-T e ISS'!K13</f>
        <v>0</v>
      </c>
      <c r="Q13" s="604">
        <f>'CADASTRO V-T e ISS'!L13</f>
        <v>0</v>
      </c>
      <c r="R13" s="604">
        <f>'CADASTRO V-T e ISS'!M13</f>
        <v>0</v>
      </c>
      <c r="S13" s="604">
        <f>'CADASTRO V-T e ISS'!N13</f>
        <v>0</v>
      </c>
      <c r="T13" s="604">
        <f>'CADASTRO V-T e ISS'!O13</f>
        <v>0</v>
      </c>
      <c r="U13" s="608">
        <f t="shared" si="0"/>
        <v>16710.473461818183</v>
      </c>
      <c r="V13" s="608">
        <f t="shared" si="1"/>
        <v>334.20946923636365</v>
      </c>
      <c r="W13" s="608">
        <f t="shared" si="2"/>
        <v>17044.682931054547</v>
      </c>
      <c r="X13" s="608">
        <f t="shared" si="3"/>
        <v>409072.39034530916</v>
      </c>
    </row>
    <row r="14" spans="1:24">
      <c r="A14" s="604">
        <f>'CADASTRO V-T e ISS'!A14</f>
        <v>9</v>
      </c>
      <c r="B14" s="605" t="str">
        <f>'CADASTRO V-T e ISS'!B14</f>
        <v>Amontada</v>
      </c>
      <c r="C14" s="606">
        <f>IF('CADASTRO V-T e ISS'!C14="SIM",'CADASTRO V-T e ISS'!D14*'CADASTRO V-T e ISS'!E14*'CADASTRO V-T e ISS'!F14,0)</f>
        <v>0</v>
      </c>
      <c r="D14" s="607">
        <f>'CADASTRO V-T e ISS'!G14</f>
        <v>0</v>
      </c>
      <c r="E14" s="621">
        <f>(('VALOR POSTOS MÊS '!E40+('VALOR POSTOS MÊS '!E48+'VALOR POSTOS MÊS '!E62+(MAX(0,$C14-0.06*'VALOR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'!$D$149-$D14)</f>
        <v>8428.8640036363649</v>
      </c>
      <c r="F14" s="621">
        <f>(('VALOR POSTOS MÊS '!F40+('VALOR POSTOS MÊS '!F48+'VALOR POSTOS MÊS '!F62+(MAX(0,$C14-0.06*'VALOR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'!$D$149-$D14)</f>
        <v>8281.6094581818197</v>
      </c>
      <c r="G14" s="621">
        <f>(('VALOR POSTOS MÊS '!G40+('VALOR POSTOS MÊS '!G48+'VALOR POSTOS MÊS '!G62+(MAX(0,$C14-0.06*'VALOR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'!$D$149-$D14)</f>
        <v>10267.560367272728</v>
      </c>
      <c r="H14" s="621">
        <f>(('VALOR POSTOS MÊS '!H40+('VALOR POSTOS MÊS '!H48+'VALOR POSTOS MÊS '!H62+(MAX(0,$C14-0.06*'VALOR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'!$D$149-$D14)</f>
        <v>12184.771276363639</v>
      </c>
      <c r="I14" s="621">
        <f>(('VALOR POSTOS MÊS '!I40+('VALOR POSTOS MÊS '!I48+'VALOR POSTOS MÊS '!I62+(MAX(0,$C14-0.06*'VALOR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'!$D$149-$D14)</f>
        <v>15820.113094545455</v>
      </c>
      <c r="J14" s="621">
        <f>(('VALOR POSTOS MÊS '!J40+('VALOR POSTOS MÊS '!J48+'VALOR POSTOS MÊS '!J62+(MAX(0,$C14-0.06*'VALOR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'!$D$149-$D14)</f>
        <v>19964.125821818187</v>
      </c>
      <c r="K14" s="621">
        <f>(('VALOR POSTOS MÊS '!K40+('VALOR POSTOS MÊS '!K48+'VALOR POSTOS MÊS '!K62+(MAX(0,$C14-0.06*'VALOR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'!$D$149-$D14)</f>
        <v>10555.705821818183</v>
      </c>
      <c r="L14" s="621">
        <f>(('VALOR POSTOS MÊS '!L40+('VALOR POSTOS MÊS '!L48+'VALOR POSTOS MÊS '!L62+(MAX(0,$C14-0.06*'VALOR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'!$D$149-$D14)</f>
        <v>10285.696730909092</v>
      </c>
      <c r="M14" s="604">
        <f>'CADASTRO V-T e ISS'!H14</f>
        <v>1</v>
      </c>
      <c r="N14" s="604">
        <f>'CADASTRO V-T e ISS'!I14</f>
        <v>1</v>
      </c>
      <c r="O14" s="604">
        <f>'CADASTRO V-T e ISS'!J14</f>
        <v>0</v>
      </c>
      <c r="P14" s="604">
        <f>'CADASTRO V-T e ISS'!K14</f>
        <v>0</v>
      </c>
      <c r="Q14" s="604">
        <f>'CADASTRO V-T e ISS'!L14</f>
        <v>0</v>
      </c>
      <c r="R14" s="604">
        <f>'CADASTRO V-T e ISS'!M14</f>
        <v>0</v>
      </c>
      <c r="S14" s="604">
        <f>'CADASTRO V-T e ISS'!N14</f>
        <v>0</v>
      </c>
      <c r="T14" s="604">
        <f>'CADASTRO V-T e ISS'!O14</f>
        <v>0</v>
      </c>
      <c r="U14" s="608">
        <f t="shared" si="0"/>
        <v>16710.473461818183</v>
      </c>
      <c r="V14" s="608">
        <f t="shared" si="1"/>
        <v>334.20946923636365</v>
      </c>
      <c r="W14" s="608">
        <f t="shared" si="2"/>
        <v>17044.682931054547</v>
      </c>
      <c r="X14" s="608">
        <f t="shared" si="3"/>
        <v>409072.39034530916</v>
      </c>
    </row>
    <row r="15" spans="1:24">
      <c r="A15" s="604">
        <f>'CADASTRO V-T e ISS'!A15</f>
        <v>10</v>
      </c>
      <c r="B15" s="605" t="str">
        <f>'CADASTRO V-T e ISS'!B15</f>
        <v>Antonina do Norte</v>
      </c>
      <c r="C15" s="606">
        <f>IF('CADASTRO V-T e ISS'!C15="SIM",'CADASTRO V-T e ISS'!D15*'CADASTRO V-T e ISS'!E15*'CADASTRO V-T e ISS'!F15,0)</f>
        <v>0</v>
      </c>
      <c r="D15" s="607">
        <f>'CADASTRO V-T e ISS'!G15</f>
        <v>0</v>
      </c>
      <c r="E15" s="621">
        <f>(('VALOR POSTOS MÊS '!E40+('VALOR POSTOS MÊS '!E48+'VALOR POSTOS MÊS '!E62+(MAX(0,$C15-0.06*'VALOR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'!$D$149-$D15)</f>
        <v>8428.8640036363649</v>
      </c>
      <c r="F15" s="621">
        <f>(('VALOR POSTOS MÊS '!F40+('VALOR POSTOS MÊS '!F48+'VALOR POSTOS MÊS '!F62+(MAX(0,$C15-0.06*'VALOR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'!$D$149-$D15)</f>
        <v>8281.6094581818197</v>
      </c>
      <c r="G15" s="621">
        <f>(('VALOR POSTOS MÊS '!G40+('VALOR POSTOS MÊS '!G48+'VALOR POSTOS MÊS '!G62+(MAX(0,$C15-0.06*'VALOR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'!$D$149-$D15)</f>
        <v>10267.560367272728</v>
      </c>
      <c r="H15" s="621">
        <f>(('VALOR POSTOS MÊS '!H40+('VALOR POSTOS MÊS '!H48+'VALOR POSTOS MÊS '!H62+(MAX(0,$C15-0.06*'VALOR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'!$D$149-$D15)</f>
        <v>12184.771276363639</v>
      </c>
      <c r="I15" s="621">
        <f>(('VALOR POSTOS MÊS '!I40+('VALOR POSTOS MÊS '!I48+'VALOR POSTOS MÊS '!I62+(MAX(0,$C15-0.06*'VALOR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'!$D$149-$D15)</f>
        <v>15820.113094545455</v>
      </c>
      <c r="J15" s="621">
        <f>(('VALOR POSTOS MÊS '!J40+('VALOR POSTOS MÊS '!J48+'VALOR POSTOS MÊS '!J62+(MAX(0,$C15-0.06*'VALOR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'!$D$149-$D15)</f>
        <v>19964.125821818187</v>
      </c>
      <c r="K15" s="621">
        <f>(('VALOR POSTOS MÊS '!K40+('VALOR POSTOS MÊS '!K48+'VALOR POSTOS MÊS '!K62+(MAX(0,$C15-0.06*'VALOR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'!$D$149-$D15)</f>
        <v>10555.705821818183</v>
      </c>
      <c r="L15" s="621">
        <f>(('VALOR POSTOS MÊS '!L40+('VALOR POSTOS MÊS '!L48+'VALOR POSTOS MÊS '!L62+(MAX(0,$C15-0.06*'VALOR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'!$D$149-$D15)</f>
        <v>10285.696730909092</v>
      </c>
      <c r="M15" s="604">
        <f>'CADASTRO V-T e ISS'!H15</f>
        <v>0</v>
      </c>
      <c r="N15" s="604">
        <f>'CADASTRO V-T e ISS'!I15</f>
        <v>0</v>
      </c>
      <c r="O15" s="604">
        <f>'CADASTRO V-T e ISS'!J15</f>
        <v>0</v>
      </c>
      <c r="P15" s="604">
        <f>'CADASTRO V-T e ISS'!K15</f>
        <v>0</v>
      </c>
      <c r="Q15" s="604">
        <f>'CADASTRO V-T e ISS'!L15</f>
        <v>0</v>
      </c>
      <c r="R15" s="604">
        <f>'CADASTRO V-T e ISS'!M15</f>
        <v>0</v>
      </c>
      <c r="S15" s="604">
        <f>'CADASTRO V-T e ISS'!N15</f>
        <v>0</v>
      </c>
      <c r="T15" s="604">
        <f>'CADASTRO V-T e ISS'!O15</f>
        <v>0</v>
      </c>
      <c r="U15" s="608">
        <f t="shared" si="0"/>
        <v>0</v>
      </c>
      <c r="V15" s="608">
        <f t="shared" si="1"/>
        <v>0</v>
      </c>
      <c r="W15" s="608">
        <f t="shared" si="2"/>
        <v>0</v>
      </c>
      <c r="X15" s="608">
        <f t="shared" si="3"/>
        <v>0</v>
      </c>
    </row>
    <row r="16" spans="1:24">
      <c r="A16" s="604">
        <f>'CADASTRO V-T e ISS'!A16</f>
        <v>11</v>
      </c>
      <c r="B16" s="605" t="str">
        <f>'CADASTRO V-T e ISS'!B16</f>
        <v>Apuiarés</v>
      </c>
      <c r="C16" s="606">
        <f>IF('CADASTRO V-T e ISS'!C16="SIM",'CADASTRO V-T e ISS'!D16*'CADASTRO V-T e ISS'!E16*'CADASTRO V-T e ISS'!F16,0)</f>
        <v>0</v>
      </c>
      <c r="D16" s="607">
        <f>'CADASTRO V-T e ISS'!G16</f>
        <v>0</v>
      </c>
      <c r="E16" s="621">
        <f>(('VALOR POSTOS MÊS '!E40+('VALOR POSTOS MÊS '!E48+'VALOR POSTOS MÊS '!E62+(MAX(0,$C16-0.06*'VALOR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'!$D$149-$D16)</f>
        <v>8428.8640036363649</v>
      </c>
      <c r="F16" s="621">
        <f>(('VALOR POSTOS MÊS '!F40+('VALOR POSTOS MÊS '!F48+'VALOR POSTOS MÊS '!F62+(MAX(0,$C16-0.06*'VALOR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'!$D$149-$D16)</f>
        <v>8281.6094581818197</v>
      </c>
      <c r="G16" s="621">
        <f>(('VALOR POSTOS MÊS '!G40+('VALOR POSTOS MÊS '!G48+'VALOR POSTOS MÊS '!G62+(MAX(0,$C16-0.06*'VALOR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'!$D$149-$D16)</f>
        <v>10267.560367272728</v>
      </c>
      <c r="H16" s="621">
        <f>(('VALOR POSTOS MÊS '!H40+('VALOR POSTOS MÊS '!H48+'VALOR POSTOS MÊS '!H62+(MAX(0,$C16-0.06*'VALOR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'!$D$149-$D16)</f>
        <v>12184.771276363639</v>
      </c>
      <c r="I16" s="621">
        <f>(('VALOR POSTOS MÊS '!I40+('VALOR POSTOS MÊS '!I48+'VALOR POSTOS MÊS '!I62+(MAX(0,$C16-0.06*'VALOR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'!$D$149-$D16)</f>
        <v>15820.113094545455</v>
      </c>
      <c r="J16" s="621">
        <f>(('VALOR POSTOS MÊS '!J40+('VALOR POSTOS MÊS '!J48+'VALOR POSTOS MÊS '!J62+(MAX(0,$C16-0.06*'VALOR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'!$D$149-$D16)</f>
        <v>19964.125821818187</v>
      </c>
      <c r="K16" s="621">
        <f>(('VALOR POSTOS MÊS '!K40+('VALOR POSTOS MÊS '!K48+'VALOR POSTOS MÊS '!K62+(MAX(0,$C16-0.06*'VALOR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'!$D$149-$D16)</f>
        <v>10555.705821818183</v>
      </c>
      <c r="L16" s="621">
        <f>(('VALOR POSTOS MÊS '!L40+('VALOR POSTOS MÊS '!L48+'VALOR POSTOS MÊS '!L62+(MAX(0,$C16-0.06*'VALOR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'!$D$149-$D16)</f>
        <v>10285.696730909092</v>
      </c>
      <c r="M16" s="604">
        <f>'CADASTRO V-T e ISS'!H16</f>
        <v>0</v>
      </c>
      <c r="N16" s="604">
        <f>'CADASTRO V-T e ISS'!I16</f>
        <v>0</v>
      </c>
      <c r="O16" s="604">
        <f>'CADASTRO V-T e ISS'!J16</f>
        <v>0</v>
      </c>
      <c r="P16" s="604">
        <f>'CADASTRO V-T e ISS'!K16</f>
        <v>0</v>
      </c>
      <c r="Q16" s="604">
        <f>'CADASTRO V-T e ISS'!L16</f>
        <v>0</v>
      </c>
      <c r="R16" s="604">
        <f>'CADASTRO V-T e ISS'!M16</f>
        <v>0</v>
      </c>
      <c r="S16" s="604">
        <f>'CADASTRO V-T e ISS'!N16</f>
        <v>0</v>
      </c>
      <c r="T16" s="604">
        <f>'CADASTRO V-T e ISS'!O16</f>
        <v>0</v>
      </c>
      <c r="U16" s="608">
        <f t="shared" si="0"/>
        <v>0</v>
      </c>
      <c r="V16" s="608">
        <f t="shared" si="1"/>
        <v>0</v>
      </c>
      <c r="W16" s="608">
        <f t="shared" si="2"/>
        <v>0</v>
      </c>
      <c r="X16" s="608">
        <f t="shared" si="3"/>
        <v>0</v>
      </c>
    </row>
    <row r="17" spans="1:24">
      <c r="A17" s="604">
        <f>'CADASTRO V-T e ISS'!A17</f>
        <v>12</v>
      </c>
      <c r="B17" s="605" t="str">
        <f>'CADASTRO V-T e ISS'!B17</f>
        <v>Aquiraz</v>
      </c>
      <c r="C17" s="606">
        <f>IF('CADASTRO V-T e ISS'!C17="SIM",'CADASTRO V-T e ISS'!D17*'CADASTRO V-T e ISS'!E17*'CADASTRO V-T e ISS'!F17,0)</f>
        <v>0</v>
      </c>
      <c r="D17" s="607">
        <f>'CADASTRO V-T e ISS'!G17</f>
        <v>0</v>
      </c>
      <c r="E17" s="621">
        <f>(('VALOR POSTOS MÊS '!E40+('VALOR POSTOS MÊS '!E48+'VALOR POSTOS MÊS '!E62+(MAX(0,$C17-0.06*'VALOR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'!$D$149-$D17)</f>
        <v>8428.8640036363649</v>
      </c>
      <c r="F17" s="621">
        <f>(('VALOR POSTOS MÊS '!F40+('VALOR POSTOS MÊS '!F48+'VALOR POSTOS MÊS '!F62+(MAX(0,$C17-0.06*'VALOR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'!$D$149-$D17)</f>
        <v>8281.6094581818197</v>
      </c>
      <c r="G17" s="621">
        <f>(('VALOR POSTOS MÊS '!G40+('VALOR POSTOS MÊS '!G48+'VALOR POSTOS MÊS '!G62+(MAX(0,$C17-0.06*'VALOR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'!$D$149-$D17)</f>
        <v>10267.560367272728</v>
      </c>
      <c r="H17" s="621">
        <f>(('VALOR POSTOS MÊS '!H40+('VALOR POSTOS MÊS '!H48+'VALOR POSTOS MÊS '!H62+(MAX(0,$C17-0.06*'VALOR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'!$D$149-$D17)</f>
        <v>12184.771276363639</v>
      </c>
      <c r="I17" s="621">
        <f>(('VALOR POSTOS MÊS '!I40+('VALOR POSTOS MÊS '!I48+'VALOR POSTOS MÊS '!I62+(MAX(0,$C17-0.06*'VALOR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'!$D$149-$D17)</f>
        <v>15820.113094545455</v>
      </c>
      <c r="J17" s="621">
        <f>(('VALOR POSTOS MÊS '!J40+('VALOR POSTOS MÊS '!J48+'VALOR POSTOS MÊS '!J62+(MAX(0,$C17-0.06*'VALOR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'!$D$149-$D17)</f>
        <v>19964.125821818187</v>
      </c>
      <c r="K17" s="621">
        <f>(('VALOR POSTOS MÊS '!K40+('VALOR POSTOS MÊS '!K48+'VALOR POSTOS MÊS '!K62+(MAX(0,$C17-0.06*'VALOR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'!$D$149-$D17)</f>
        <v>10555.705821818183</v>
      </c>
      <c r="L17" s="621">
        <f>(('VALOR POSTOS MÊS '!L40+('VALOR POSTOS MÊS '!L48+'VALOR POSTOS MÊS '!L62+(MAX(0,$C17-0.06*'VALOR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'!$D$149-$D17)</f>
        <v>10285.696730909092</v>
      </c>
      <c r="M17" s="604">
        <f>'CADASTRO V-T e ISS'!H17</f>
        <v>1</v>
      </c>
      <c r="N17" s="604">
        <f>'CADASTRO V-T e ISS'!I17</f>
        <v>2</v>
      </c>
      <c r="O17" s="604">
        <f>'CADASTRO V-T e ISS'!J17</f>
        <v>0</v>
      </c>
      <c r="P17" s="604">
        <f>'CADASTRO V-T e ISS'!K17</f>
        <v>0</v>
      </c>
      <c r="Q17" s="604">
        <f>'CADASTRO V-T e ISS'!L17</f>
        <v>0</v>
      </c>
      <c r="R17" s="604">
        <f>'CADASTRO V-T e ISS'!M17</f>
        <v>0</v>
      </c>
      <c r="S17" s="604">
        <f>'CADASTRO V-T e ISS'!N17</f>
        <v>0</v>
      </c>
      <c r="T17" s="604">
        <f>'CADASTRO V-T e ISS'!O17</f>
        <v>0</v>
      </c>
      <c r="U17" s="608">
        <f t="shared" si="0"/>
        <v>24992.082920000004</v>
      </c>
      <c r="V17" s="608">
        <f t="shared" si="1"/>
        <v>499.84165840000009</v>
      </c>
      <c r="W17" s="608">
        <f t="shared" si="2"/>
        <v>25491.924578400005</v>
      </c>
      <c r="X17" s="608">
        <f t="shared" si="3"/>
        <v>611806.18988160009</v>
      </c>
    </row>
    <row r="18" spans="1:24">
      <c r="A18" s="604">
        <f>'CADASTRO V-T e ISS'!A18</f>
        <v>13</v>
      </c>
      <c r="B18" s="605" t="str">
        <f>'CADASTRO V-T e ISS'!B18</f>
        <v>Aracati</v>
      </c>
      <c r="C18" s="606">
        <f>IF('CADASTRO V-T e ISS'!C18="SIM",'CADASTRO V-T e ISS'!D18*'CADASTRO V-T e ISS'!E18*'CADASTRO V-T e ISS'!F18,0)</f>
        <v>0</v>
      </c>
      <c r="D18" s="607">
        <f>'CADASTRO V-T e ISS'!G18</f>
        <v>0</v>
      </c>
      <c r="E18" s="621">
        <f>(('VALOR POSTOS MÊS '!E40+('VALOR POSTOS MÊS '!E48+'VALOR POSTOS MÊS '!E62+(MAX(0,$C18-0.06*'VALOR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'!$D$149-$D18)</f>
        <v>8428.8640036363649</v>
      </c>
      <c r="F18" s="621">
        <f>(('VALOR POSTOS MÊS '!F40+('VALOR POSTOS MÊS '!F48+'VALOR POSTOS MÊS '!F62+(MAX(0,$C18-0.06*'VALOR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'!$D$149-$D18)</f>
        <v>8281.6094581818197</v>
      </c>
      <c r="G18" s="621">
        <f>(('VALOR POSTOS MÊS '!G40+('VALOR POSTOS MÊS '!G48+'VALOR POSTOS MÊS '!G62+(MAX(0,$C18-0.06*'VALOR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'!$D$149-$D18)</f>
        <v>10267.560367272728</v>
      </c>
      <c r="H18" s="621">
        <f>(('VALOR POSTOS MÊS '!H40+('VALOR POSTOS MÊS '!H48+'VALOR POSTOS MÊS '!H62+(MAX(0,$C18-0.06*'VALOR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'!$D$149-$D18)</f>
        <v>12184.771276363639</v>
      </c>
      <c r="I18" s="621">
        <f>(('VALOR POSTOS MÊS '!I40+('VALOR POSTOS MÊS '!I48+'VALOR POSTOS MÊS '!I62+(MAX(0,$C18-0.06*'VALOR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'!$D$149-$D18)</f>
        <v>15820.113094545455</v>
      </c>
      <c r="J18" s="621">
        <f>(('VALOR POSTOS MÊS '!J40+('VALOR POSTOS MÊS '!J48+'VALOR POSTOS MÊS '!J62+(MAX(0,$C18-0.06*'VALOR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'!$D$149-$D18)</f>
        <v>19964.125821818187</v>
      </c>
      <c r="K18" s="621">
        <f>(('VALOR POSTOS MÊS '!K40+('VALOR POSTOS MÊS '!K48+'VALOR POSTOS MÊS '!K62+(MAX(0,$C18-0.06*'VALOR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'!$D$149-$D18)</f>
        <v>10555.705821818183</v>
      </c>
      <c r="L18" s="621">
        <f>(('VALOR POSTOS MÊS '!L40+('VALOR POSTOS MÊS '!L48+'VALOR POSTOS MÊS '!L62+(MAX(0,$C18-0.06*'VALOR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'!$D$149-$D18)</f>
        <v>10285.696730909092</v>
      </c>
      <c r="M18" s="604">
        <f>'CADASTRO V-T e ISS'!H18</f>
        <v>1</v>
      </c>
      <c r="N18" s="604">
        <f>'CADASTRO V-T e ISS'!I18</f>
        <v>2</v>
      </c>
      <c r="O18" s="604">
        <f>'CADASTRO V-T e ISS'!J18</f>
        <v>0</v>
      </c>
      <c r="P18" s="604">
        <f>'CADASTRO V-T e ISS'!K18</f>
        <v>0</v>
      </c>
      <c r="Q18" s="604">
        <f>'CADASTRO V-T e ISS'!L18</f>
        <v>0</v>
      </c>
      <c r="R18" s="604">
        <f>'CADASTRO V-T e ISS'!M18</f>
        <v>0</v>
      </c>
      <c r="S18" s="604">
        <f>'CADASTRO V-T e ISS'!N18</f>
        <v>0</v>
      </c>
      <c r="T18" s="604">
        <f>'CADASTRO V-T e ISS'!O18</f>
        <v>0</v>
      </c>
      <c r="U18" s="608">
        <f t="shared" si="0"/>
        <v>24992.082920000004</v>
      </c>
      <c r="V18" s="608">
        <f t="shared" si="1"/>
        <v>499.84165840000009</v>
      </c>
      <c r="W18" s="608">
        <f t="shared" si="2"/>
        <v>25491.924578400005</v>
      </c>
      <c r="X18" s="608">
        <f t="shared" si="3"/>
        <v>611806.18988160009</v>
      </c>
    </row>
    <row r="19" spans="1:24">
      <c r="A19" s="604">
        <f>'CADASTRO V-T e ISS'!A19</f>
        <v>14</v>
      </c>
      <c r="B19" s="605" t="str">
        <f>'CADASTRO V-T e ISS'!B19</f>
        <v>Aracoiaba</v>
      </c>
      <c r="C19" s="606">
        <f>IF('CADASTRO V-T e ISS'!C19="SIM",'CADASTRO V-T e ISS'!D19*'CADASTRO V-T e ISS'!E19*'CADASTRO V-T e ISS'!F19,0)</f>
        <v>0</v>
      </c>
      <c r="D19" s="607">
        <f>'CADASTRO V-T e ISS'!G19</f>
        <v>0</v>
      </c>
      <c r="E19" s="621">
        <f>(('VALOR POSTOS MÊS '!E40+('VALOR POSTOS MÊS '!E48+'VALOR POSTOS MÊS '!E62+(MAX(0,$C19-0.06*'VALOR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'!$D$149-$D19)</f>
        <v>8428.8640036363649</v>
      </c>
      <c r="F19" s="621">
        <f>(('VALOR POSTOS MÊS '!F40+('VALOR POSTOS MÊS '!F48+'VALOR POSTOS MÊS '!F62+(MAX(0,$C19-0.06*'VALOR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'!$D$149-$D19)</f>
        <v>8281.6094581818197</v>
      </c>
      <c r="G19" s="621">
        <f>(('VALOR POSTOS MÊS '!G40+('VALOR POSTOS MÊS '!G48+'VALOR POSTOS MÊS '!G62+(MAX(0,$C19-0.06*'VALOR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'!$D$149-$D19)</f>
        <v>10267.560367272728</v>
      </c>
      <c r="H19" s="621">
        <f>(('VALOR POSTOS MÊS '!H40+('VALOR POSTOS MÊS '!H48+'VALOR POSTOS MÊS '!H62+(MAX(0,$C19-0.06*'VALOR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'!$D$149-$D19)</f>
        <v>12184.771276363639</v>
      </c>
      <c r="I19" s="621">
        <f>(('VALOR POSTOS MÊS '!I40+('VALOR POSTOS MÊS '!I48+'VALOR POSTOS MÊS '!I62+(MAX(0,$C19-0.06*'VALOR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'!$D$149-$D19)</f>
        <v>15820.113094545455</v>
      </c>
      <c r="J19" s="621">
        <f>(('VALOR POSTOS MÊS '!J40+('VALOR POSTOS MÊS '!J48+'VALOR POSTOS MÊS '!J62+(MAX(0,$C19-0.06*'VALOR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'!$D$149-$D19)</f>
        <v>19964.125821818187</v>
      </c>
      <c r="K19" s="621">
        <f>(('VALOR POSTOS MÊS '!K40+('VALOR POSTOS MÊS '!K48+'VALOR POSTOS MÊS '!K62+(MAX(0,$C19-0.06*'VALOR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'!$D$149-$D19)</f>
        <v>10555.705821818183</v>
      </c>
      <c r="L19" s="621">
        <f>(('VALOR POSTOS MÊS '!L40+('VALOR POSTOS MÊS '!L48+'VALOR POSTOS MÊS '!L62+(MAX(0,$C19-0.06*'VALOR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'!$D$149-$D19)</f>
        <v>10285.696730909092</v>
      </c>
      <c r="M19" s="604">
        <f>'CADASTRO V-T e ISS'!H19</f>
        <v>1</v>
      </c>
      <c r="N19" s="604">
        <f>'CADASTRO V-T e ISS'!I19</f>
        <v>2</v>
      </c>
      <c r="O19" s="604">
        <f>'CADASTRO V-T e ISS'!J19</f>
        <v>0</v>
      </c>
      <c r="P19" s="604">
        <f>'CADASTRO V-T e ISS'!K19</f>
        <v>0</v>
      </c>
      <c r="Q19" s="604">
        <f>'CADASTRO V-T e ISS'!L19</f>
        <v>0</v>
      </c>
      <c r="R19" s="604">
        <f>'CADASTRO V-T e ISS'!M19</f>
        <v>0</v>
      </c>
      <c r="S19" s="604">
        <f>'CADASTRO V-T e ISS'!N19</f>
        <v>0</v>
      </c>
      <c r="T19" s="604">
        <f>'CADASTRO V-T e ISS'!O19</f>
        <v>0</v>
      </c>
      <c r="U19" s="608">
        <f t="shared" si="0"/>
        <v>24992.082920000004</v>
      </c>
      <c r="V19" s="608">
        <f t="shared" si="1"/>
        <v>499.84165840000009</v>
      </c>
      <c r="W19" s="608">
        <f t="shared" si="2"/>
        <v>25491.924578400005</v>
      </c>
      <c r="X19" s="608">
        <f t="shared" si="3"/>
        <v>611806.18988160009</v>
      </c>
    </row>
    <row r="20" spans="1:24">
      <c r="A20" s="604">
        <f>'CADASTRO V-T e ISS'!A20</f>
        <v>15</v>
      </c>
      <c r="B20" s="605" t="str">
        <f>'CADASTRO V-T e ISS'!B20</f>
        <v>Ararendá</v>
      </c>
      <c r="C20" s="606">
        <f>IF('CADASTRO V-T e ISS'!C20="SIM",'CADASTRO V-T e ISS'!D20*'CADASTRO V-T e ISS'!E20*'CADASTRO V-T e ISS'!F20,0)</f>
        <v>0</v>
      </c>
      <c r="D20" s="607">
        <f>'CADASTRO V-T e ISS'!G20</f>
        <v>0</v>
      </c>
      <c r="E20" s="621">
        <f>(('VALOR POSTOS MÊS '!E40+('VALOR POSTOS MÊS '!E48+'VALOR POSTOS MÊS '!E62+(MAX(0,$C20-0.06*'VALOR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'!$D$149-$D20)</f>
        <v>8428.8640036363649</v>
      </c>
      <c r="F20" s="621">
        <f>(('VALOR POSTOS MÊS '!F40+('VALOR POSTOS MÊS '!F48+'VALOR POSTOS MÊS '!F62+(MAX(0,$C20-0.06*'VALOR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'!$D$149-$D20)</f>
        <v>8281.6094581818197</v>
      </c>
      <c r="G20" s="621">
        <f>(('VALOR POSTOS MÊS '!G40+('VALOR POSTOS MÊS '!G48+'VALOR POSTOS MÊS '!G62+(MAX(0,$C20-0.06*'VALOR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'!$D$149-$D20)</f>
        <v>10267.560367272728</v>
      </c>
      <c r="H20" s="621">
        <f>(('VALOR POSTOS MÊS '!H40+('VALOR POSTOS MÊS '!H48+'VALOR POSTOS MÊS '!H62+(MAX(0,$C20-0.06*'VALOR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'!$D$149-$D20)</f>
        <v>12184.771276363639</v>
      </c>
      <c r="I20" s="621">
        <f>(('VALOR POSTOS MÊS '!I40+('VALOR POSTOS MÊS '!I48+'VALOR POSTOS MÊS '!I62+(MAX(0,$C20-0.06*'VALOR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'!$D$149-$D20)</f>
        <v>15820.113094545455</v>
      </c>
      <c r="J20" s="621">
        <f>(('VALOR POSTOS MÊS '!J40+('VALOR POSTOS MÊS '!J48+'VALOR POSTOS MÊS '!J62+(MAX(0,$C20-0.06*'VALOR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'!$D$149-$D20)</f>
        <v>19964.125821818187</v>
      </c>
      <c r="K20" s="621">
        <f>(('VALOR POSTOS MÊS '!K40+('VALOR POSTOS MÊS '!K48+'VALOR POSTOS MÊS '!K62+(MAX(0,$C20-0.06*'VALOR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'!$D$149-$D20)</f>
        <v>10555.705821818183</v>
      </c>
      <c r="L20" s="621">
        <f>(('VALOR POSTOS MÊS '!L40+('VALOR POSTOS MÊS '!L48+'VALOR POSTOS MÊS '!L62+(MAX(0,$C20-0.06*'VALOR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'!$D$149-$D20)</f>
        <v>10285.696730909092</v>
      </c>
      <c r="M20" s="604">
        <f>'CADASTRO V-T e ISS'!H20</f>
        <v>0</v>
      </c>
      <c r="N20" s="604">
        <f>'CADASTRO V-T e ISS'!I20</f>
        <v>0</v>
      </c>
      <c r="O20" s="604">
        <f>'CADASTRO V-T e ISS'!J20</f>
        <v>0</v>
      </c>
      <c r="P20" s="604">
        <f>'CADASTRO V-T e ISS'!K20</f>
        <v>0</v>
      </c>
      <c r="Q20" s="604">
        <f>'CADASTRO V-T e ISS'!L20</f>
        <v>0</v>
      </c>
      <c r="R20" s="604">
        <f>'CADASTRO V-T e ISS'!M20</f>
        <v>0</v>
      </c>
      <c r="S20" s="604">
        <f>'CADASTRO V-T e ISS'!N20</f>
        <v>0</v>
      </c>
      <c r="T20" s="604">
        <f>'CADASTRO V-T e ISS'!O20</f>
        <v>0</v>
      </c>
      <c r="U20" s="608">
        <f t="shared" si="0"/>
        <v>0</v>
      </c>
      <c r="V20" s="608">
        <f t="shared" si="1"/>
        <v>0</v>
      </c>
      <c r="W20" s="608">
        <f t="shared" si="2"/>
        <v>0</v>
      </c>
      <c r="X20" s="608">
        <f t="shared" si="3"/>
        <v>0</v>
      </c>
    </row>
    <row r="21" spans="1:24">
      <c r="A21" s="604">
        <f>'CADASTRO V-T e ISS'!A21</f>
        <v>16</v>
      </c>
      <c r="B21" s="605" t="str">
        <f>'CADASTRO V-T e ISS'!B21</f>
        <v>Araripe</v>
      </c>
      <c r="C21" s="606">
        <f>IF('CADASTRO V-T e ISS'!C21="SIM",'CADASTRO V-T e ISS'!D21*'CADASTRO V-T e ISS'!E21*'CADASTRO V-T e ISS'!F21,0)</f>
        <v>0</v>
      </c>
      <c r="D21" s="607">
        <f>'CADASTRO V-T e ISS'!G21</f>
        <v>0</v>
      </c>
      <c r="E21" s="621">
        <f>(('VALOR POSTOS MÊS '!E40+('VALOR POSTOS MÊS '!E48+'VALOR POSTOS MÊS '!E62+(MAX(0,$C21-0.06*'VALOR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'!$D$149-$D21)</f>
        <v>8428.8640036363649</v>
      </c>
      <c r="F21" s="621">
        <f>(('VALOR POSTOS MÊS '!F40+('VALOR POSTOS MÊS '!F48+'VALOR POSTOS MÊS '!F62+(MAX(0,$C21-0.06*'VALOR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'!$D$149-$D21)</f>
        <v>8281.6094581818197</v>
      </c>
      <c r="G21" s="621">
        <f>(('VALOR POSTOS MÊS '!G40+('VALOR POSTOS MÊS '!G48+'VALOR POSTOS MÊS '!G62+(MAX(0,$C21-0.06*'VALOR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'!$D$149-$D21)</f>
        <v>10267.560367272728</v>
      </c>
      <c r="H21" s="621">
        <f>(('VALOR POSTOS MÊS '!H40+('VALOR POSTOS MÊS '!H48+'VALOR POSTOS MÊS '!H62+(MAX(0,$C21-0.06*'VALOR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'!$D$149-$D21)</f>
        <v>12184.771276363639</v>
      </c>
      <c r="I21" s="621">
        <f>(('VALOR POSTOS MÊS '!I40+('VALOR POSTOS MÊS '!I48+'VALOR POSTOS MÊS '!I62+(MAX(0,$C21-0.06*'VALOR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'!$D$149-$D21)</f>
        <v>15820.113094545455</v>
      </c>
      <c r="J21" s="621">
        <f>(('VALOR POSTOS MÊS '!J40+('VALOR POSTOS MÊS '!J48+'VALOR POSTOS MÊS '!J62+(MAX(0,$C21-0.06*'VALOR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'!$D$149-$D21)</f>
        <v>19964.125821818187</v>
      </c>
      <c r="K21" s="621">
        <f>(('VALOR POSTOS MÊS '!K40+('VALOR POSTOS MÊS '!K48+'VALOR POSTOS MÊS '!K62+(MAX(0,$C21-0.06*'VALOR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'!$D$149-$D21)</f>
        <v>10555.705821818183</v>
      </c>
      <c r="L21" s="621">
        <f>(('VALOR POSTOS MÊS '!L40+('VALOR POSTOS MÊS '!L48+'VALOR POSTOS MÊS '!L62+(MAX(0,$C21-0.06*'VALOR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'!$D$149-$D21)</f>
        <v>10285.696730909092</v>
      </c>
      <c r="M21" s="604">
        <f>'CADASTRO V-T e ISS'!H21</f>
        <v>1</v>
      </c>
      <c r="N21" s="604">
        <f>'CADASTRO V-T e ISS'!I21</f>
        <v>1</v>
      </c>
      <c r="O21" s="604">
        <f>'CADASTRO V-T e ISS'!J21</f>
        <v>0</v>
      </c>
      <c r="P21" s="604">
        <f>'CADASTRO V-T e ISS'!K21</f>
        <v>0</v>
      </c>
      <c r="Q21" s="604">
        <f>'CADASTRO V-T e ISS'!L21</f>
        <v>0</v>
      </c>
      <c r="R21" s="604">
        <f>'CADASTRO V-T e ISS'!M21</f>
        <v>0</v>
      </c>
      <c r="S21" s="604">
        <f>'CADASTRO V-T e ISS'!N21</f>
        <v>0</v>
      </c>
      <c r="T21" s="604">
        <f>'CADASTRO V-T e ISS'!O21</f>
        <v>0</v>
      </c>
      <c r="U21" s="608">
        <f t="shared" si="0"/>
        <v>16710.473461818183</v>
      </c>
      <c r="V21" s="608">
        <f t="shared" si="1"/>
        <v>334.20946923636365</v>
      </c>
      <c r="W21" s="608">
        <f t="shared" si="2"/>
        <v>17044.682931054547</v>
      </c>
      <c r="X21" s="608">
        <f t="shared" si="3"/>
        <v>409072.39034530916</v>
      </c>
    </row>
    <row r="22" spans="1:24">
      <c r="A22" s="604">
        <f>'CADASTRO V-T e ISS'!A22</f>
        <v>17</v>
      </c>
      <c r="B22" s="605" t="str">
        <f>'CADASTRO V-T e ISS'!B22</f>
        <v>Aratuba</v>
      </c>
      <c r="C22" s="606">
        <f>IF('CADASTRO V-T e ISS'!C22="SIM",'CADASTRO V-T e ISS'!D22*'CADASTRO V-T e ISS'!E22*'CADASTRO V-T e ISS'!F22,0)</f>
        <v>0</v>
      </c>
      <c r="D22" s="607">
        <f>'CADASTRO V-T e ISS'!G22</f>
        <v>0</v>
      </c>
      <c r="E22" s="621">
        <f>(('VALOR POSTOS MÊS '!E40+('VALOR POSTOS MÊS '!E48+'VALOR POSTOS MÊS '!E62+(MAX(0,$C22-0.06*'VALOR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'!$D$149-$D22)</f>
        <v>8428.8640036363649</v>
      </c>
      <c r="F22" s="621">
        <f>(('VALOR POSTOS MÊS '!F40+('VALOR POSTOS MÊS '!F48+'VALOR POSTOS MÊS '!F62+(MAX(0,$C22-0.06*'VALOR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'!$D$149-$D22)</f>
        <v>8281.6094581818197</v>
      </c>
      <c r="G22" s="621">
        <f>(('VALOR POSTOS MÊS '!G40+('VALOR POSTOS MÊS '!G48+'VALOR POSTOS MÊS '!G62+(MAX(0,$C22-0.06*'VALOR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'!$D$149-$D22)</f>
        <v>10267.560367272728</v>
      </c>
      <c r="H22" s="621">
        <f>(('VALOR POSTOS MÊS '!H40+('VALOR POSTOS MÊS '!H48+'VALOR POSTOS MÊS '!H62+(MAX(0,$C22-0.06*'VALOR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'!$D$149-$D22)</f>
        <v>12184.771276363639</v>
      </c>
      <c r="I22" s="621">
        <f>(('VALOR POSTOS MÊS '!I40+('VALOR POSTOS MÊS '!I48+'VALOR POSTOS MÊS '!I62+(MAX(0,$C22-0.06*'VALOR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'!$D$149-$D22)</f>
        <v>15820.113094545455</v>
      </c>
      <c r="J22" s="621">
        <f>(('VALOR POSTOS MÊS '!J40+('VALOR POSTOS MÊS '!J48+'VALOR POSTOS MÊS '!J62+(MAX(0,$C22-0.06*'VALOR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'!$D$149-$D22)</f>
        <v>19964.125821818187</v>
      </c>
      <c r="K22" s="621">
        <f>(('VALOR POSTOS MÊS '!K40+('VALOR POSTOS MÊS '!K48+'VALOR POSTOS MÊS '!K62+(MAX(0,$C22-0.06*'VALOR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'!$D$149-$D22)</f>
        <v>10555.705821818183</v>
      </c>
      <c r="L22" s="621">
        <f>(('VALOR POSTOS MÊS '!L40+('VALOR POSTOS MÊS '!L48+'VALOR POSTOS MÊS '!L62+(MAX(0,$C22-0.06*'VALOR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'!$D$149-$D22)</f>
        <v>10285.696730909092</v>
      </c>
      <c r="M22" s="604">
        <f>'CADASTRO V-T e ISS'!H22</f>
        <v>0</v>
      </c>
      <c r="N22" s="604">
        <f>'CADASTRO V-T e ISS'!I22</f>
        <v>0</v>
      </c>
      <c r="O22" s="604">
        <f>'CADASTRO V-T e ISS'!J22</f>
        <v>0</v>
      </c>
      <c r="P22" s="604">
        <f>'CADASTRO V-T e ISS'!K22</f>
        <v>0</v>
      </c>
      <c r="Q22" s="604">
        <f>'CADASTRO V-T e ISS'!L22</f>
        <v>0</v>
      </c>
      <c r="R22" s="604">
        <f>'CADASTRO V-T e ISS'!M22</f>
        <v>0</v>
      </c>
      <c r="S22" s="604">
        <f>'CADASTRO V-T e ISS'!N22</f>
        <v>0</v>
      </c>
      <c r="T22" s="604">
        <f>'CADASTRO V-T e ISS'!O22</f>
        <v>0</v>
      </c>
      <c r="U22" s="608">
        <f t="shared" si="0"/>
        <v>0</v>
      </c>
      <c r="V22" s="608">
        <f t="shared" si="1"/>
        <v>0</v>
      </c>
      <c r="W22" s="608">
        <f t="shared" si="2"/>
        <v>0</v>
      </c>
      <c r="X22" s="608">
        <f t="shared" si="3"/>
        <v>0</v>
      </c>
    </row>
    <row r="23" spans="1:24">
      <c r="A23" s="604">
        <f>'CADASTRO V-T e ISS'!A23</f>
        <v>18</v>
      </c>
      <c r="B23" s="605" t="str">
        <f>'CADASTRO V-T e ISS'!B23</f>
        <v>Arneiroz</v>
      </c>
      <c r="C23" s="606">
        <f>IF('CADASTRO V-T e ISS'!C23="SIM",'CADASTRO V-T e ISS'!D23*'CADASTRO V-T e ISS'!E23*'CADASTRO V-T e ISS'!F23,0)</f>
        <v>0</v>
      </c>
      <c r="D23" s="607">
        <f>'CADASTRO V-T e ISS'!G23</f>
        <v>0</v>
      </c>
      <c r="E23" s="621">
        <f>(('VALOR POSTOS MÊS '!E40+('VALOR POSTOS MÊS '!E48+'VALOR POSTOS MÊS '!E62+(MAX(0,$C23-0.06*'VALOR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'!$D$149-$D23)</f>
        <v>8428.8640036363649</v>
      </c>
      <c r="F23" s="621">
        <f>(('VALOR POSTOS MÊS '!F40+('VALOR POSTOS MÊS '!F48+'VALOR POSTOS MÊS '!F62+(MAX(0,$C23-0.06*'VALOR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'!$D$149-$D23)</f>
        <v>8281.6094581818197</v>
      </c>
      <c r="G23" s="621">
        <f>(('VALOR POSTOS MÊS '!G40+('VALOR POSTOS MÊS '!G48+'VALOR POSTOS MÊS '!G62+(MAX(0,$C23-0.06*'VALOR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'!$D$149-$D23)</f>
        <v>10267.560367272728</v>
      </c>
      <c r="H23" s="621">
        <f>(('VALOR POSTOS MÊS '!H40+('VALOR POSTOS MÊS '!H48+'VALOR POSTOS MÊS '!H62+(MAX(0,$C23-0.06*'VALOR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'!$D$149-$D23)</f>
        <v>12184.771276363639</v>
      </c>
      <c r="I23" s="621">
        <f>(('VALOR POSTOS MÊS '!I40+('VALOR POSTOS MÊS '!I48+'VALOR POSTOS MÊS '!I62+(MAX(0,$C23-0.06*'VALOR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'!$D$149-$D23)</f>
        <v>15820.113094545455</v>
      </c>
      <c r="J23" s="621">
        <f>(('VALOR POSTOS MÊS '!J40+('VALOR POSTOS MÊS '!J48+'VALOR POSTOS MÊS '!J62+(MAX(0,$C23-0.06*'VALOR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'!$D$149-$D23)</f>
        <v>19964.125821818187</v>
      </c>
      <c r="K23" s="621">
        <f>(('VALOR POSTOS MÊS '!K40+('VALOR POSTOS MÊS '!K48+'VALOR POSTOS MÊS '!K62+(MAX(0,$C23-0.06*'VALOR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'!$D$149-$D23)</f>
        <v>10555.705821818183</v>
      </c>
      <c r="L23" s="621">
        <f>(('VALOR POSTOS MÊS '!L40+('VALOR POSTOS MÊS '!L48+'VALOR POSTOS MÊS '!L62+(MAX(0,$C23-0.06*'VALOR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'!$D$149-$D23)</f>
        <v>10285.696730909092</v>
      </c>
      <c r="M23" s="604">
        <f>'CADASTRO V-T e ISS'!H23</f>
        <v>0</v>
      </c>
      <c r="N23" s="604">
        <f>'CADASTRO V-T e ISS'!I23</f>
        <v>0</v>
      </c>
      <c r="O23" s="604">
        <f>'CADASTRO V-T e ISS'!J23</f>
        <v>0</v>
      </c>
      <c r="P23" s="604">
        <f>'CADASTRO V-T e ISS'!K23</f>
        <v>0</v>
      </c>
      <c r="Q23" s="604">
        <f>'CADASTRO V-T e ISS'!L23</f>
        <v>0</v>
      </c>
      <c r="R23" s="604">
        <f>'CADASTRO V-T e ISS'!M23</f>
        <v>0</v>
      </c>
      <c r="S23" s="604">
        <f>'CADASTRO V-T e ISS'!N23</f>
        <v>0</v>
      </c>
      <c r="T23" s="604">
        <f>'CADASTRO V-T e ISS'!O23</f>
        <v>0</v>
      </c>
      <c r="U23" s="608">
        <f t="shared" si="0"/>
        <v>0</v>
      </c>
      <c r="V23" s="608">
        <f t="shared" si="1"/>
        <v>0</v>
      </c>
      <c r="W23" s="608">
        <f t="shared" si="2"/>
        <v>0</v>
      </c>
      <c r="X23" s="608">
        <f t="shared" si="3"/>
        <v>0</v>
      </c>
    </row>
    <row r="24" spans="1:24">
      <c r="A24" s="604">
        <f>'CADASTRO V-T e ISS'!A24</f>
        <v>19</v>
      </c>
      <c r="B24" s="605" t="str">
        <f>'CADASTRO V-T e ISS'!B24</f>
        <v>Assaré</v>
      </c>
      <c r="C24" s="606">
        <f>IF('CADASTRO V-T e ISS'!C24="SIM",'CADASTRO V-T e ISS'!D24*'CADASTRO V-T e ISS'!E24*'CADASTRO V-T e ISS'!F24,0)</f>
        <v>0</v>
      </c>
      <c r="D24" s="607">
        <f>'CADASTRO V-T e ISS'!G24</f>
        <v>0</v>
      </c>
      <c r="E24" s="621">
        <f>(('VALOR POSTOS MÊS '!E40+('VALOR POSTOS MÊS '!E48+'VALOR POSTOS MÊS '!E62+(MAX(0,$C24-0.06*'VALOR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'!$D$149-$D24)</f>
        <v>8428.8640036363649</v>
      </c>
      <c r="F24" s="621">
        <f>(('VALOR POSTOS MÊS '!F40+('VALOR POSTOS MÊS '!F48+'VALOR POSTOS MÊS '!F62+(MAX(0,$C24-0.06*'VALOR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'!$D$149-$D24)</f>
        <v>8281.6094581818197</v>
      </c>
      <c r="G24" s="621">
        <f>(('VALOR POSTOS MÊS '!G40+('VALOR POSTOS MÊS '!G48+'VALOR POSTOS MÊS '!G62+(MAX(0,$C24-0.06*'VALOR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'!$D$149-$D24)</f>
        <v>10267.560367272728</v>
      </c>
      <c r="H24" s="621">
        <f>(('VALOR POSTOS MÊS '!H40+('VALOR POSTOS MÊS '!H48+'VALOR POSTOS MÊS '!H62+(MAX(0,$C24-0.06*'VALOR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'!$D$149-$D24)</f>
        <v>12184.771276363639</v>
      </c>
      <c r="I24" s="621">
        <f>(('VALOR POSTOS MÊS '!I40+('VALOR POSTOS MÊS '!I48+'VALOR POSTOS MÊS '!I62+(MAX(0,$C24-0.06*'VALOR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'!$D$149-$D24)</f>
        <v>15820.113094545455</v>
      </c>
      <c r="J24" s="621">
        <f>(('VALOR POSTOS MÊS '!J40+('VALOR POSTOS MÊS '!J48+'VALOR POSTOS MÊS '!J62+(MAX(0,$C24-0.06*'VALOR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'!$D$149-$D24)</f>
        <v>19964.125821818187</v>
      </c>
      <c r="K24" s="621">
        <f>(('VALOR POSTOS MÊS '!K40+('VALOR POSTOS MÊS '!K48+'VALOR POSTOS MÊS '!K62+(MAX(0,$C24-0.06*'VALOR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'!$D$149-$D24)</f>
        <v>10555.705821818183</v>
      </c>
      <c r="L24" s="621">
        <f>(('VALOR POSTOS MÊS '!L40+('VALOR POSTOS MÊS '!L48+'VALOR POSTOS MÊS '!L62+(MAX(0,$C24-0.06*'VALOR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'!$D$149-$D24)</f>
        <v>10285.696730909092</v>
      </c>
      <c r="M24" s="604">
        <f>'CADASTRO V-T e ISS'!H24</f>
        <v>1</v>
      </c>
      <c r="N24" s="604">
        <f>'CADASTRO V-T e ISS'!I24</f>
        <v>1</v>
      </c>
      <c r="O24" s="604">
        <f>'CADASTRO V-T e ISS'!J24</f>
        <v>0</v>
      </c>
      <c r="P24" s="604">
        <f>'CADASTRO V-T e ISS'!K24</f>
        <v>0</v>
      </c>
      <c r="Q24" s="604">
        <f>'CADASTRO V-T e ISS'!L24</f>
        <v>0</v>
      </c>
      <c r="R24" s="604">
        <f>'CADASTRO V-T e ISS'!M24</f>
        <v>0</v>
      </c>
      <c r="S24" s="604">
        <f>'CADASTRO V-T e ISS'!N24</f>
        <v>0</v>
      </c>
      <c r="T24" s="604">
        <f>'CADASTRO V-T e ISS'!O24</f>
        <v>0</v>
      </c>
      <c r="U24" s="608">
        <f t="shared" si="0"/>
        <v>16710.473461818183</v>
      </c>
      <c r="V24" s="608">
        <f t="shared" si="1"/>
        <v>334.20946923636365</v>
      </c>
      <c r="W24" s="608">
        <f t="shared" si="2"/>
        <v>17044.682931054547</v>
      </c>
      <c r="X24" s="608">
        <f t="shared" si="3"/>
        <v>409072.39034530916</v>
      </c>
    </row>
    <row r="25" spans="1:24">
      <c r="A25" s="604">
        <f>'CADASTRO V-T e ISS'!A25</f>
        <v>20</v>
      </c>
      <c r="B25" s="605" t="str">
        <f>'CADASTRO V-T e ISS'!B25</f>
        <v>Aurora</v>
      </c>
      <c r="C25" s="606">
        <f>IF('CADASTRO V-T e ISS'!C25="SIM",'CADASTRO V-T e ISS'!D25*'CADASTRO V-T e ISS'!E25*'CADASTRO V-T e ISS'!F25,0)</f>
        <v>0</v>
      </c>
      <c r="D25" s="607">
        <f>'CADASTRO V-T e ISS'!G25</f>
        <v>0</v>
      </c>
      <c r="E25" s="621">
        <f>(('VALOR POSTOS MÊS '!E40+('VALOR POSTOS MÊS '!E48+'VALOR POSTOS MÊS '!E62+(MAX(0,$C25-0.06*'VALOR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'!$D$149-$D25)</f>
        <v>8428.8640036363649</v>
      </c>
      <c r="F25" s="621">
        <f>(('VALOR POSTOS MÊS '!F40+('VALOR POSTOS MÊS '!F48+'VALOR POSTOS MÊS '!F62+(MAX(0,$C25-0.06*'VALOR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'!$D$149-$D25)</f>
        <v>8281.6094581818197</v>
      </c>
      <c r="G25" s="621">
        <f>(('VALOR POSTOS MÊS '!G40+('VALOR POSTOS MÊS '!G48+'VALOR POSTOS MÊS '!G62+(MAX(0,$C25-0.06*'VALOR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'!$D$149-$D25)</f>
        <v>10267.560367272728</v>
      </c>
      <c r="H25" s="621">
        <f>(('VALOR POSTOS MÊS '!H40+('VALOR POSTOS MÊS '!H48+'VALOR POSTOS MÊS '!H62+(MAX(0,$C25-0.06*'VALOR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'!$D$149-$D25)</f>
        <v>12184.771276363639</v>
      </c>
      <c r="I25" s="621">
        <f>(('VALOR POSTOS MÊS '!I40+('VALOR POSTOS MÊS '!I48+'VALOR POSTOS MÊS '!I62+(MAX(0,$C25-0.06*'VALOR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'!$D$149-$D25)</f>
        <v>15820.113094545455</v>
      </c>
      <c r="J25" s="621">
        <f>(('VALOR POSTOS MÊS '!J40+('VALOR POSTOS MÊS '!J48+'VALOR POSTOS MÊS '!J62+(MAX(0,$C25-0.06*'VALOR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'!$D$149-$D25)</f>
        <v>19964.125821818187</v>
      </c>
      <c r="K25" s="621">
        <f>(('VALOR POSTOS MÊS '!K40+('VALOR POSTOS MÊS '!K48+'VALOR POSTOS MÊS '!K62+(MAX(0,$C25-0.06*'VALOR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'!$D$149-$D25)</f>
        <v>10555.705821818183</v>
      </c>
      <c r="L25" s="621">
        <f>(('VALOR POSTOS MÊS '!L40+('VALOR POSTOS MÊS '!L48+'VALOR POSTOS MÊS '!L62+(MAX(0,$C25-0.06*'VALOR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'!$D$149-$D25)</f>
        <v>10285.696730909092</v>
      </c>
      <c r="M25" s="604">
        <f>'CADASTRO V-T e ISS'!H25</f>
        <v>1</v>
      </c>
      <c r="N25" s="604">
        <f>'CADASTRO V-T e ISS'!I25</f>
        <v>1</v>
      </c>
      <c r="O25" s="604">
        <f>'CADASTRO V-T e ISS'!J25</f>
        <v>0</v>
      </c>
      <c r="P25" s="604">
        <f>'CADASTRO V-T e ISS'!K25</f>
        <v>0</v>
      </c>
      <c r="Q25" s="604">
        <f>'CADASTRO V-T e ISS'!L25</f>
        <v>0</v>
      </c>
      <c r="R25" s="604">
        <f>'CADASTRO V-T e ISS'!M25</f>
        <v>0</v>
      </c>
      <c r="S25" s="604">
        <f>'CADASTRO V-T e ISS'!N25</f>
        <v>0</v>
      </c>
      <c r="T25" s="604">
        <f>'CADASTRO V-T e ISS'!O25</f>
        <v>0</v>
      </c>
      <c r="U25" s="608">
        <f t="shared" si="0"/>
        <v>16710.473461818183</v>
      </c>
      <c r="V25" s="608">
        <f t="shared" si="1"/>
        <v>334.20946923636365</v>
      </c>
      <c r="W25" s="608">
        <f t="shared" si="2"/>
        <v>17044.682931054547</v>
      </c>
      <c r="X25" s="608">
        <f t="shared" si="3"/>
        <v>409072.39034530916</v>
      </c>
    </row>
    <row r="26" spans="1:24">
      <c r="A26" s="604">
        <f>'CADASTRO V-T e ISS'!A26</f>
        <v>21</v>
      </c>
      <c r="B26" s="605" t="str">
        <f>'CADASTRO V-T e ISS'!B26</f>
        <v>Baixio</v>
      </c>
      <c r="C26" s="606">
        <f>IF('CADASTRO V-T e ISS'!C26="SIM",'CADASTRO V-T e ISS'!D26*'CADASTRO V-T e ISS'!E26*'CADASTRO V-T e ISS'!F26,0)</f>
        <v>0</v>
      </c>
      <c r="D26" s="607">
        <f>'CADASTRO V-T e ISS'!G26</f>
        <v>0</v>
      </c>
      <c r="E26" s="621">
        <f>(('VALOR POSTOS MÊS '!E40+('VALOR POSTOS MÊS '!E48+'VALOR POSTOS MÊS '!E62+(MAX(0,$C26-0.06*'VALOR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'!$D$149-$D26)</f>
        <v>8428.8640036363649</v>
      </c>
      <c r="F26" s="621">
        <f>(('VALOR POSTOS MÊS '!F40+('VALOR POSTOS MÊS '!F48+'VALOR POSTOS MÊS '!F62+(MAX(0,$C26-0.06*'VALOR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'!$D$149-$D26)</f>
        <v>8281.6094581818197</v>
      </c>
      <c r="G26" s="621">
        <f>(('VALOR POSTOS MÊS '!G40+('VALOR POSTOS MÊS '!G48+'VALOR POSTOS MÊS '!G62+(MAX(0,$C26-0.06*'VALOR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'!$D$149-$D26)</f>
        <v>10267.560367272728</v>
      </c>
      <c r="H26" s="621">
        <f>(('VALOR POSTOS MÊS '!H40+('VALOR POSTOS MÊS '!H48+'VALOR POSTOS MÊS '!H62+(MAX(0,$C26-0.06*'VALOR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'!$D$149-$D26)</f>
        <v>12184.771276363639</v>
      </c>
      <c r="I26" s="621">
        <f>(('VALOR POSTOS MÊS '!I40+('VALOR POSTOS MÊS '!I48+'VALOR POSTOS MÊS '!I62+(MAX(0,$C26-0.06*'VALOR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'!$D$149-$D26)</f>
        <v>15820.113094545455</v>
      </c>
      <c r="J26" s="621">
        <f>(('VALOR POSTOS MÊS '!J40+('VALOR POSTOS MÊS '!J48+'VALOR POSTOS MÊS '!J62+(MAX(0,$C26-0.06*'VALOR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'!$D$149-$D26)</f>
        <v>19964.125821818187</v>
      </c>
      <c r="K26" s="621">
        <f>(('VALOR POSTOS MÊS '!K40+('VALOR POSTOS MÊS '!K48+'VALOR POSTOS MÊS '!K62+(MAX(0,$C26-0.06*'VALOR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'!$D$149-$D26)</f>
        <v>10555.705821818183</v>
      </c>
      <c r="L26" s="621">
        <f>(('VALOR POSTOS MÊS '!L40+('VALOR POSTOS MÊS '!L48+'VALOR POSTOS MÊS '!L62+(MAX(0,$C26-0.06*'VALOR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'!$D$149-$D26)</f>
        <v>10285.696730909092</v>
      </c>
      <c r="M26" s="604">
        <f>'CADASTRO V-T e ISS'!H26</f>
        <v>0</v>
      </c>
      <c r="N26" s="604">
        <f>'CADASTRO V-T e ISS'!I26</f>
        <v>0</v>
      </c>
      <c r="O26" s="604">
        <f>'CADASTRO V-T e ISS'!J26</f>
        <v>0</v>
      </c>
      <c r="P26" s="604">
        <f>'CADASTRO V-T e ISS'!K26</f>
        <v>0</v>
      </c>
      <c r="Q26" s="604">
        <f>'CADASTRO V-T e ISS'!L26</f>
        <v>0</v>
      </c>
      <c r="R26" s="604">
        <f>'CADASTRO V-T e ISS'!M26</f>
        <v>0</v>
      </c>
      <c r="S26" s="604">
        <f>'CADASTRO V-T e ISS'!N26</f>
        <v>0</v>
      </c>
      <c r="T26" s="604">
        <f>'CADASTRO V-T e ISS'!O26</f>
        <v>0</v>
      </c>
      <c r="U26" s="608">
        <f t="shared" si="0"/>
        <v>0</v>
      </c>
      <c r="V26" s="608">
        <f t="shared" si="1"/>
        <v>0</v>
      </c>
      <c r="W26" s="608">
        <f t="shared" si="2"/>
        <v>0</v>
      </c>
      <c r="X26" s="608">
        <f t="shared" si="3"/>
        <v>0</v>
      </c>
    </row>
    <row r="27" spans="1:24">
      <c r="A27" s="604">
        <f>'CADASTRO V-T e ISS'!A27</f>
        <v>22</v>
      </c>
      <c r="B27" s="605" t="str">
        <f>'CADASTRO V-T e ISS'!B27</f>
        <v>Banabuiú</v>
      </c>
      <c r="C27" s="606">
        <f>IF('CADASTRO V-T e ISS'!C27="SIM",'CADASTRO V-T e ISS'!D27*'CADASTRO V-T e ISS'!E27*'CADASTRO V-T e ISS'!F27,0)</f>
        <v>0</v>
      </c>
      <c r="D27" s="607">
        <f>'CADASTRO V-T e ISS'!G27</f>
        <v>0</v>
      </c>
      <c r="E27" s="621">
        <f>(('VALOR POSTOS MÊS '!E40+('VALOR POSTOS MÊS '!E48+'VALOR POSTOS MÊS '!E62+(MAX(0,$C27-0.06*'VALOR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'!$D$149-$D27)</f>
        <v>8428.8640036363649</v>
      </c>
      <c r="F27" s="621">
        <f>(('VALOR POSTOS MÊS '!F40+('VALOR POSTOS MÊS '!F48+'VALOR POSTOS MÊS '!F62+(MAX(0,$C27-0.06*'VALOR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'!$D$149-$D27)</f>
        <v>8281.6094581818197</v>
      </c>
      <c r="G27" s="621">
        <f>(('VALOR POSTOS MÊS '!G40+('VALOR POSTOS MÊS '!G48+'VALOR POSTOS MÊS '!G62+(MAX(0,$C27-0.06*'VALOR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'!$D$149-$D27)</f>
        <v>10267.560367272728</v>
      </c>
      <c r="H27" s="621">
        <f>(('VALOR POSTOS MÊS '!H40+('VALOR POSTOS MÊS '!H48+'VALOR POSTOS MÊS '!H62+(MAX(0,$C27-0.06*'VALOR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'!$D$149-$D27)</f>
        <v>12184.771276363639</v>
      </c>
      <c r="I27" s="621">
        <f>(('VALOR POSTOS MÊS '!I40+('VALOR POSTOS MÊS '!I48+'VALOR POSTOS MÊS '!I62+(MAX(0,$C27-0.06*'VALOR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'!$D$149-$D27)</f>
        <v>15820.113094545455</v>
      </c>
      <c r="J27" s="621">
        <f>(('VALOR POSTOS MÊS '!J40+('VALOR POSTOS MÊS '!J48+'VALOR POSTOS MÊS '!J62+(MAX(0,$C27-0.06*'VALOR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'!$D$149-$D27)</f>
        <v>19964.125821818187</v>
      </c>
      <c r="K27" s="621">
        <f>(('VALOR POSTOS MÊS '!K40+('VALOR POSTOS MÊS '!K48+'VALOR POSTOS MÊS '!K62+(MAX(0,$C27-0.06*'VALOR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'!$D$149-$D27)</f>
        <v>10555.705821818183</v>
      </c>
      <c r="L27" s="621">
        <f>(('VALOR POSTOS MÊS '!L40+('VALOR POSTOS MÊS '!L48+'VALOR POSTOS MÊS '!L62+(MAX(0,$C27-0.06*'VALOR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'!$D$149-$D27)</f>
        <v>10285.696730909092</v>
      </c>
      <c r="M27" s="604">
        <f>'CADASTRO V-T e ISS'!H27</f>
        <v>0</v>
      </c>
      <c r="N27" s="604">
        <f>'CADASTRO V-T e ISS'!I27</f>
        <v>0</v>
      </c>
      <c r="O27" s="604">
        <f>'CADASTRO V-T e ISS'!J27</f>
        <v>0</v>
      </c>
      <c r="P27" s="604">
        <f>'CADASTRO V-T e ISS'!K27</f>
        <v>0</v>
      </c>
      <c r="Q27" s="604">
        <f>'CADASTRO V-T e ISS'!L27</f>
        <v>0</v>
      </c>
      <c r="R27" s="604">
        <f>'CADASTRO V-T e ISS'!M27</f>
        <v>0</v>
      </c>
      <c r="S27" s="604">
        <f>'CADASTRO V-T e ISS'!N27</f>
        <v>0</v>
      </c>
      <c r="T27" s="604">
        <f>'CADASTRO V-T e ISS'!O27</f>
        <v>0</v>
      </c>
      <c r="U27" s="608">
        <f t="shared" si="0"/>
        <v>0</v>
      </c>
      <c r="V27" s="608">
        <f t="shared" si="1"/>
        <v>0</v>
      </c>
      <c r="W27" s="608">
        <f t="shared" si="2"/>
        <v>0</v>
      </c>
      <c r="X27" s="608">
        <f t="shared" si="3"/>
        <v>0</v>
      </c>
    </row>
    <row r="28" spans="1:24">
      <c r="A28" s="604">
        <f>'CADASTRO V-T e ISS'!A28</f>
        <v>23</v>
      </c>
      <c r="B28" s="605" t="str">
        <f>'CADASTRO V-T e ISS'!B28</f>
        <v>Barbalha</v>
      </c>
      <c r="C28" s="606">
        <f>IF('CADASTRO V-T e ISS'!C28="SIM",'CADASTRO V-T e ISS'!D28*'CADASTRO V-T e ISS'!E28*'CADASTRO V-T e ISS'!F28,0)</f>
        <v>0</v>
      </c>
      <c r="D28" s="607">
        <f>'CADASTRO V-T e ISS'!G28</f>
        <v>0</v>
      </c>
      <c r="E28" s="621">
        <f>(('VALOR POSTOS MÊS '!E40+('VALOR POSTOS MÊS '!E48+'VALOR POSTOS MÊS '!E62+(MAX(0,$C28-0.06*'VALOR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'!$D$149-$D28)</f>
        <v>8428.8640036363649</v>
      </c>
      <c r="F28" s="621">
        <f>(('VALOR POSTOS MÊS '!F40+('VALOR POSTOS MÊS '!F48+'VALOR POSTOS MÊS '!F62+(MAX(0,$C28-0.06*'VALOR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'!$D$149-$D28)</f>
        <v>8281.6094581818197</v>
      </c>
      <c r="G28" s="621">
        <f>(('VALOR POSTOS MÊS '!G40+('VALOR POSTOS MÊS '!G48+'VALOR POSTOS MÊS '!G62+(MAX(0,$C28-0.06*'VALOR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'!$D$149-$D28)</f>
        <v>10267.560367272728</v>
      </c>
      <c r="H28" s="621">
        <f>(('VALOR POSTOS MÊS '!H40+('VALOR POSTOS MÊS '!H48+'VALOR POSTOS MÊS '!H62+(MAX(0,$C28-0.06*'VALOR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'!$D$149-$D28)</f>
        <v>12184.771276363639</v>
      </c>
      <c r="I28" s="621">
        <f>(('VALOR POSTOS MÊS '!I40+('VALOR POSTOS MÊS '!I48+'VALOR POSTOS MÊS '!I62+(MAX(0,$C28-0.06*'VALOR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'!$D$149-$D28)</f>
        <v>15820.113094545455</v>
      </c>
      <c r="J28" s="621">
        <f>(('VALOR POSTOS MÊS '!J40+('VALOR POSTOS MÊS '!J48+'VALOR POSTOS MÊS '!J62+(MAX(0,$C28-0.06*'VALOR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'!$D$149-$D28)</f>
        <v>19964.125821818187</v>
      </c>
      <c r="K28" s="621">
        <f>(('VALOR POSTOS MÊS '!K40+('VALOR POSTOS MÊS '!K48+'VALOR POSTOS MÊS '!K62+(MAX(0,$C28-0.06*'VALOR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'!$D$149-$D28)</f>
        <v>10555.705821818183</v>
      </c>
      <c r="L28" s="621">
        <f>(('VALOR POSTOS MÊS '!L40+('VALOR POSTOS MÊS '!L48+'VALOR POSTOS MÊS '!L62+(MAX(0,$C28-0.06*'VALOR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'!$D$149-$D28)</f>
        <v>10285.696730909092</v>
      </c>
      <c r="M28" s="604">
        <f>'CADASTRO V-T e ISS'!H28</f>
        <v>1</v>
      </c>
      <c r="N28" s="604">
        <f>'CADASTRO V-T e ISS'!I28</f>
        <v>2</v>
      </c>
      <c r="O28" s="604">
        <f>'CADASTRO V-T e ISS'!J28</f>
        <v>0</v>
      </c>
      <c r="P28" s="604">
        <f>'CADASTRO V-T e ISS'!K28</f>
        <v>0</v>
      </c>
      <c r="Q28" s="604">
        <f>'CADASTRO V-T e ISS'!L28</f>
        <v>0</v>
      </c>
      <c r="R28" s="604">
        <f>'CADASTRO V-T e ISS'!M28</f>
        <v>0</v>
      </c>
      <c r="S28" s="604">
        <f>'CADASTRO V-T e ISS'!N28</f>
        <v>0</v>
      </c>
      <c r="T28" s="604">
        <f>'CADASTRO V-T e ISS'!O28</f>
        <v>0</v>
      </c>
      <c r="U28" s="608">
        <f t="shared" si="0"/>
        <v>24992.082920000004</v>
      </c>
      <c r="V28" s="608">
        <f t="shared" si="1"/>
        <v>499.84165840000009</v>
      </c>
      <c r="W28" s="608">
        <f t="shared" si="2"/>
        <v>25491.924578400005</v>
      </c>
      <c r="X28" s="608">
        <f t="shared" si="3"/>
        <v>611806.18988160009</v>
      </c>
    </row>
    <row r="29" spans="1:24">
      <c r="A29" s="604">
        <f>'CADASTRO V-T e ISS'!A29</f>
        <v>24</v>
      </c>
      <c r="B29" s="605" t="str">
        <f>'CADASTRO V-T e ISS'!B29</f>
        <v>Barreira</v>
      </c>
      <c r="C29" s="606">
        <f>IF('CADASTRO V-T e ISS'!C29="SIM",'CADASTRO V-T e ISS'!D29*'CADASTRO V-T e ISS'!E29*'CADASTRO V-T e ISS'!F29,0)</f>
        <v>0</v>
      </c>
      <c r="D29" s="607">
        <f>'CADASTRO V-T e ISS'!G29</f>
        <v>0</v>
      </c>
      <c r="E29" s="621">
        <f>(('VALOR POSTOS MÊS '!E40+('VALOR POSTOS MÊS '!E48+'VALOR POSTOS MÊS '!E62+(MAX(0,$C29-0.06*'VALOR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'!E62+(MAX(0,$C29-0.06*'VALOR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'!$D$149-$D29)</f>
        <v>8428.8640036363649</v>
      </c>
      <c r="F29" s="621">
        <f>(('VALOR POSTOS MÊS '!F40+('VALOR POSTOS MÊS '!F48+'VALOR POSTOS MÊS '!F62+(MAX(0,$C29-0.06*'VALOR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'!F62+(MAX(0,$C29-0.06*'VALOR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'!$D$149-$D29)</f>
        <v>8281.6094581818197</v>
      </c>
      <c r="G29" s="621">
        <f>(('VALOR POSTOS MÊS '!G40+('VALOR POSTOS MÊS '!G48+'VALOR POSTOS MÊS '!G62+(MAX(0,$C29-0.06*'VALOR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'!G62+(MAX(0,$C29-0.06*'VALOR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'!$D$149-$D29)</f>
        <v>10267.560367272728</v>
      </c>
      <c r="H29" s="621">
        <f>(('VALOR POSTOS MÊS '!H40+('VALOR POSTOS MÊS '!H48+'VALOR POSTOS MÊS '!H62+(MAX(0,$C29-0.06*'VALOR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'!H62+(MAX(0,$C29-0.06*'VALOR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'!$D$149-$D29)</f>
        <v>12184.771276363639</v>
      </c>
      <c r="I29" s="621">
        <f>(('VALOR POSTOS MÊS '!I40+('VALOR POSTOS MÊS '!I48+'VALOR POSTOS MÊS '!I62+(MAX(0,$C29-0.06*'VALOR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'!I62+(MAX(0,$C29-0.06*'VALOR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'!$D$149-$D29)</f>
        <v>15820.113094545455</v>
      </c>
      <c r="J29" s="621">
        <f>(('VALOR POSTOS MÊS '!J40+('VALOR POSTOS MÊS '!J48+'VALOR POSTOS MÊS '!J62+(MAX(0,$C29-0.06*'VALOR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'!J62+(MAX(0,$C29-0.06*'VALOR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'!$D$149-$D29)</f>
        <v>19964.125821818187</v>
      </c>
      <c r="K29" s="621">
        <f>(('VALOR POSTOS MÊS '!K40+('VALOR POSTOS MÊS '!K48+'VALOR POSTOS MÊS '!K62+(MAX(0,$C29-0.06*'VALOR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'!K62+(MAX(0,$C29-0.06*'VALOR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'!$D$149-$D29)</f>
        <v>10555.705821818183</v>
      </c>
      <c r="L29" s="621">
        <f>(('VALOR POSTOS MÊS '!L40+('VALOR POSTOS MÊS '!L48+'VALOR POSTOS MÊS '!L62+(MAX(0,$C29-0.06*'VALOR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'!L62+(MAX(0,$C29-0.06*'VALOR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'!$D$149-$D29)</f>
        <v>10285.696730909092</v>
      </c>
      <c r="M29" s="604">
        <f>'CADASTRO V-T e ISS'!H29</f>
        <v>0</v>
      </c>
      <c r="N29" s="604">
        <f>'CADASTRO V-T e ISS'!I29</f>
        <v>0</v>
      </c>
      <c r="O29" s="604">
        <f>'CADASTRO V-T e ISS'!J29</f>
        <v>0</v>
      </c>
      <c r="P29" s="604">
        <f>'CADASTRO V-T e ISS'!K29</f>
        <v>0</v>
      </c>
      <c r="Q29" s="604">
        <f>'CADASTRO V-T e ISS'!L29</f>
        <v>0</v>
      </c>
      <c r="R29" s="604">
        <f>'CADASTRO V-T e ISS'!M29</f>
        <v>0</v>
      </c>
      <c r="S29" s="604">
        <f>'CADASTRO V-T e ISS'!N29</f>
        <v>0</v>
      </c>
      <c r="T29" s="604">
        <f>'CADASTRO V-T e ISS'!O29</f>
        <v>0</v>
      </c>
      <c r="U29" s="608">
        <f t="shared" si="0"/>
        <v>0</v>
      </c>
      <c r="V29" s="608">
        <f t="shared" si="1"/>
        <v>0</v>
      </c>
      <c r="W29" s="608">
        <f t="shared" si="2"/>
        <v>0</v>
      </c>
      <c r="X29" s="608">
        <f t="shared" si="3"/>
        <v>0</v>
      </c>
    </row>
    <row r="30" spans="1:24">
      <c r="A30" s="604">
        <f>'CADASTRO V-T e ISS'!A30</f>
        <v>25</v>
      </c>
      <c r="B30" s="605" t="str">
        <f>'CADASTRO V-T e ISS'!B30</f>
        <v>Barro</v>
      </c>
      <c r="C30" s="606">
        <f>IF('CADASTRO V-T e ISS'!C30="SIM",'CADASTRO V-T e ISS'!D30*'CADASTRO V-T e ISS'!E30*'CADASTRO V-T e ISS'!F30,0)</f>
        <v>0</v>
      </c>
      <c r="D30" s="607">
        <f>'CADASTRO V-T e ISS'!G30</f>
        <v>0</v>
      </c>
      <c r="E30" s="621">
        <f>(('VALOR POSTOS MÊS '!E40+('VALOR POSTOS MÊS '!E48+'VALOR POSTOS MÊS '!E62+(MAX(0,$C30-0.06*'VALOR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'!$D$149-$D30)</f>
        <v>8428.8640036363649</v>
      </c>
      <c r="F30" s="621">
        <f>(('VALOR POSTOS MÊS '!F40+('VALOR POSTOS MÊS '!F48+'VALOR POSTOS MÊS '!F62+(MAX(0,$C30-0.06*'VALOR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'!$D$149-$D30)</f>
        <v>8281.6094581818197</v>
      </c>
      <c r="G30" s="621">
        <f>(('VALOR POSTOS MÊS '!G40+('VALOR POSTOS MÊS '!G48+'VALOR POSTOS MÊS '!G62+(MAX(0,$C30-0.06*'VALOR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'!$D$149-$D30)</f>
        <v>10267.560367272728</v>
      </c>
      <c r="H30" s="621">
        <f>(('VALOR POSTOS MÊS '!H40+('VALOR POSTOS MÊS '!H48+'VALOR POSTOS MÊS '!H62+(MAX(0,$C30-0.06*'VALOR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'!$D$149-$D30)</f>
        <v>12184.771276363639</v>
      </c>
      <c r="I30" s="621">
        <f>(('VALOR POSTOS MÊS '!I40+('VALOR POSTOS MÊS '!I48+'VALOR POSTOS MÊS '!I62+(MAX(0,$C30-0.06*'VALOR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'!$D$149-$D30)</f>
        <v>15820.113094545455</v>
      </c>
      <c r="J30" s="621">
        <f>(('VALOR POSTOS MÊS '!J40+('VALOR POSTOS MÊS '!J48+'VALOR POSTOS MÊS '!J62+(MAX(0,$C30-0.06*'VALOR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'!$D$149-$D30)</f>
        <v>19964.125821818187</v>
      </c>
      <c r="K30" s="621">
        <f>(('VALOR POSTOS MÊS '!K40+('VALOR POSTOS MÊS '!K48+'VALOR POSTOS MÊS '!K62+(MAX(0,$C30-0.06*'VALOR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'!$D$149-$D30)</f>
        <v>10555.705821818183</v>
      </c>
      <c r="L30" s="621">
        <f>(('VALOR POSTOS MÊS '!L40+('VALOR POSTOS MÊS '!L48+'VALOR POSTOS MÊS '!L62+(MAX(0,$C30-0.06*'VALOR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'!$D$149-$D30)</f>
        <v>10285.696730909092</v>
      </c>
      <c r="M30" s="604">
        <f>'CADASTRO V-T e ISS'!H30</f>
        <v>1</v>
      </c>
      <c r="N30" s="604">
        <f>'CADASTRO V-T e ISS'!I30</f>
        <v>1</v>
      </c>
      <c r="O30" s="604">
        <f>'CADASTRO V-T e ISS'!J30</f>
        <v>0</v>
      </c>
      <c r="P30" s="604">
        <f>'CADASTRO V-T e ISS'!K30</f>
        <v>0</v>
      </c>
      <c r="Q30" s="604">
        <f>'CADASTRO V-T e ISS'!L30</f>
        <v>0</v>
      </c>
      <c r="R30" s="604">
        <f>'CADASTRO V-T e ISS'!M30</f>
        <v>0</v>
      </c>
      <c r="S30" s="604">
        <f>'CADASTRO V-T e ISS'!N30</f>
        <v>0</v>
      </c>
      <c r="T30" s="604">
        <f>'CADASTRO V-T e ISS'!O30</f>
        <v>0</v>
      </c>
      <c r="U30" s="608">
        <f t="shared" si="0"/>
        <v>16710.473461818183</v>
      </c>
      <c r="V30" s="608">
        <f t="shared" si="1"/>
        <v>334.20946923636365</v>
      </c>
      <c r="W30" s="608">
        <f t="shared" si="2"/>
        <v>17044.682931054547</v>
      </c>
      <c r="X30" s="608">
        <f t="shared" si="3"/>
        <v>409072.39034530916</v>
      </c>
    </row>
    <row r="31" spans="1:24">
      <c r="A31" s="604">
        <f>'CADASTRO V-T e ISS'!A31</f>
        <v>26</v>
      </c>
      <c r="B31" s="605" t="str">
        <f>'CADASTRO V-T e ISS'!B31</f>
        <v>Barroquinha</v>
      </c>
      <c r="C31" s="606">
        <f>IF('CADASTRO V-T e ISS'!C31="SIM",'CADASTRO V-T e ISS'!D31*'CADASTRO V-T e ISS'!E31*'CADASTRO V-T e ISS'!F31,0)</f>
        <v>0</v>
      </c>
      <c r="D31" s="607">
        <f>'CADASTRO V-T e ISS'!G31</f>
        <v>0</v>
      </c>
      <c r="E31" s="621">
        <f>(('VALOR POSTOS MÊS '!E40+('VALOR POSTOS MÊS '!E48+'VALOR POSTOS MÊS '!E62+(MAX(0,$C31-0.06*'VALOR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'!$D$149-$D31)</f>
        <v>8428.8640036363649</v>
      </c>
      <c r="F31" s="621">
        <f>(('VALOR POSTOS MÊS '!F40+('VALOR POSTOS MÊS '!F48+'VALOR POSTOS MÊS '!F62+(MAX(0,$C31-0.06*'VALOR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'!$D$149-$D31)</f>
        <v>8281.6094581818197</v>
      </c>
      <c r="G31" s="621">
        <f>(('VALOR POSTOS MÊS '!G40+('VALOR POSTOS MÊS '!G48+'VALOR POSTOS MÊS '!G62+(MAX(0,$C31-0.06*'VALOR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'!$D$149-$D31)</f>
        <v>10267.560367272728</v>
      </c>
      <c r="H31" s="621">
        <f>(('VALOR POSTOS MÊS '!H40+('VALOR POSTOS MÊS '!H48+'VALOR POSTOS MÊS '!H62+(MAX(0,$C31-0.06*'VALOR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'!$D$149-$D31)</f>
        <v>12184.771276363639</v>
      </c>
      <c r="I31" s="621">
        <f>(('VALOR POSTOS MÊS '!I40+('VALOR POSTOS MÊS '!I48+'VALOR POSTOS MÊS '!I62+(MAX(0,$C31-0.06*'VALOR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'!$D$149-$D31)</f>
        <v>15820.113094545455</v>
      </c>
      <c r="J31" s="621">
        <f>(('VALOR POSTOS MÊS '!J40+('VALOR POSTOS MÊS '!J48+'VALOR POSTOS MÊS '!J62+(MAX(0,$C31-0.06*'VALOR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'!$D$149-$D31)</f>
        <v>19964.125821818187</v>
      </c>
      <c r="K31" s="621">
        <f>(('VALOR POSTOS MÊS '!K40+('VALOR POSTOS MÊS '!K48+'VALOR POSTOS MÊS '!K62+(MAX(0,$C31-0.06*'VALOR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'!$D$149-$D31)</f>
        <v>10555.705821818183</v>
      </c>
      <c r="L31" s="621">
        <f>(('VALOR POSTOS MÊS '!L40+('VALOR POSTOS MÊS '!L48+'VALOR POSTOS MÊS '!L62+(MAX(0,$C31-0.06*'VALOR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'!$D$149-$D31)</f>
        <v>10285.696730909092</v>
      </c>
      <c r="M31" s="604">
        <f>'CADASTRO V-T e ISS'!H31</f>
        <v>0</v>
      </c>
      <c r="N31" s="604">
        <f>'CADASTRO V-T e ISS'!I31</f>
        <v>0</v>
      </c>
      <c r="O31" s="604">
        <f>'CADASTRO V-T e ISS'!J31</f>
        <v>0</v>
      </c>
      <c r="P31" s="604">
        <f>'CADASTRO V-T e ISS'!K31</f>
        <v>0</v>
      </c>
      <c r="Q31" s="604">
        <f>'CADASTRO V-T e ISS'!L31</f>
        <v>0</v>
      </c>
      <c r="R31" s="604">
        <f>'CADASTRO V-T e ISS'!M31</f>
        <v>0</v>
      </c>
      <c r="S31" s="604">
        <f>'CADASTRO V-T e ISS'!N31</f>
        <v>0</v>
      </c>
      <c r="T31" s="604">
        <f>'CADASTRO V-T e ISS'!O31</f>
        <v>0</v>
      </c>
      <c r="U31" s="608">
        <f t="shared" si="0"/>
        <v>0</v>
      </c>
      <c r="V31" s="608">
        <f t="shared" si="1"/>
        <v>0</v>
      </c>
      <c r="W31" s="608">
        <f t="shared" si="2"/>
        <v>0</v>
      </c>
      <c r="X31" s="608">
        <f t="shared" si="3"/>
        <v>0</v>
      </c>
    </row>
    <row r="32" spans="1:24">
      <c r="A32" s="604">
        <f>'CADASTRO V-T e ISS'!A32</f>
        <v>27</v>
      </c>
      <c r="B32" s="605" t="str">
        <f>'CADASTRO V-T e ISS'!B32</f>
        <v>Baturité</v>
      </c>
      <c r="C32" s="606">
        <f>IF('CADASTRO V-T e ISS'!C32="SIM",'CADASTRO V-T e ISS'!D32*'CADASTRO V-T e ISS'!E32*'CADASTRO V-T e ISS'!F32,0)</f>
        <v>0</v>
      </c>
      <c r="D32" s="607">
        <f>'CADASTRO V-T e ISS'!G32</f>
        <v>0</v>
      </c>
      <c r="E32" s="621">
        <f>(('VALOR POSTOS MÊS '!E40+('VALOR POSTOS MÊS '!E48+'VALOR POSTOS MÊS '!E62+(MAX(0,$C32-0.06*'VALOR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'!$D$149-$D32)</f>
        <v>8428.8640036363649</v>
      </c>
      <c r="F32" s="621">
        <f>(('VALOR POSTOS MÊS '!F40+('VALOR POSTOS MÊS '!F48+'VALOR POSTOS MÊS '!F62+(MAX(0,$C32-0.06*'VALOR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'!$D$149-$D32)</f>
        <v>8281.6094581818197</v>
      </c>
      <c r="G32" s="621">
        <f>(('VALOR POSTOS MÊS '!G40+('VALOR POSTOS MÊS '!G48+'VALOR POSTOS MÊS '!G62+(MAX(0,$C32-0.06*'VALOR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'!$D$149-$D32)</f>
        <v>10267.560367272728</v>
      </c>
      <c r="H32" s="621">
        <f>(('VALOR POSTOS MÊS '!H40+('VALOR POSTOS MÊS '!H48+'VALOR POSTOS MÊS '!H62+(MAX(0,$C32-0.06*'VALOR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'!$D$149-$D32)</f>
        <v>12184.771276363639</v>
      </c>
      <c r="I32" s="621">
        <f>(('VALOR POSTOS MÊS '!I40+('VALOR POSTOS MÊS '!I48+'VALOR POSTOS MÊS '!I62+(MAX(0,$C32-0.06*'VALOR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'!$D$149-$D32)</f>
        <v>15820.113094545455</v>
      </c>
      <c r="J32" s="621">
        <f>(('VALOR POSTOS MÊS '!J40+('VALOR POSTOS MÊS '!J48+'VALOR POSTOS MÊS '!J62+(MAX(0,$C32-0.06*'VALOR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'!$D$149-$D32)</f>
        <v>19964.125821818187</v>
      </c>
      <c r="K32" s="621">
        <f>(('VALOR POSTOS MÊS '!K40+('VALOR POSTOS MÊS '!K48+'VALOR POSTOS MÊS '!K62+(MAX(0,$C32-0.06*'VALOR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'!$D$149-$D32)</f>
        <v>10555.705821818183</v>
      </c>
      <c r="L32" s="621">
        <f>(('VALOR POSTOS MÊS '!L40+('VALOR POSTOS MÊS '!L48+'VALOR POSTOS MÊS '!L62+(MAX(0,$C32-0.06*'VALOR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'!$D$149-$D32)</f>
        <v>10285.696730909092</v>
      </c>
      <c r="M32" s="604">
        <f>'CADASTRO V-T e ISS'!H32</f>
        <v>1</v>
      </c>
      <c r="N32" s="604">
        <f>'CADASTRO V-T e ISS'!I32</f>
        <v>2</v>
      </c>
      <c r="O32" s="604">
        <f>'CADASTRO V-T e ISS'!J32</f>
        <v>0</v>
      </c>
      <c r="P32" s="604">
        <f>'CADASTRO V-T e ISS'!K32</f>
        <v>0</v>
      </c>
      <c r="Q32" s="604">
        <f>'CADASTRO V-T e ISS'!L32</f>
        <v>0</v>
      </c>
      <c r="R32" s="604">
        <f>'CADASTRO V-T e ISS'!M32</f>
        <v>0</v>
      </c>
      <c r="S32" s="604">
        <f>'CADASTRO V-T e ISS'!N32</f>
        <v>0</v>
      </c>
      <c r="T32" s="604">
        <f>'CADASTRO V-T e ISS'!O32</f>
        <v>0</v>
      </c>
      <c r="U32" s="608">
        <f t="shared" si="0"/>
        <v>24992.082920000004</v>
      </c>
      <c r="V32" s="608">
        <f t="shared" si="1"/>
        <v>499.84165840000009</v>
      </c>
      <c r="W32" s="608">
        <f t="shared" si="2"/>
        <v>25491.924578400005</v>
      </c>
      <c r="X32" s="608">
        <f t="shared" si="3"/>
        <v>611806.18988160009</v>
      </c>
    </row>
    <row r="33" spans="1:24">
      <c r="A33" s="604">
        <f>'CADASTRO V-T e ISS'!A33</f>
        <v>28</v>
      </c>
      <c r="B33" s="605" t="str">
        <f>'CADASTRO V-T e ISS'!B33</f>
        <v>Beberibe</v>
      </c>
      <c r="C33" s="606">
        <f>IF('CADASTRO V-T e ISS'!C33="SIM",'CADASTRO V-T e ISS'!D33*'CADASTRO V-T e ISS'!E33*'CADASTRO V-T e ISS'!F33,0)</f>
        <v>0</v>
      </c>
      <c r="D33" s="607">
        <f>'CADASTRO V-T e ISS'!G33</f>
        <v>0</v>
      </c>
      <c r="E33" s="621">
        <f>(('VALOR POSTOS MÊS '!E40+('VALOR POSTOS MÊS '!E48+'VALOR POSTOS MÊS '!E62+(MAX(0,$C33-0.06*'VALOR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'!$D$149-$D33)</f>
        <v>8428.8640036363649</v>
      </c>
      <c r="F33" s="621">
        <f>(('VALOR POSTOS MÊS '!F40+('VALOR POSTOS MÊS '!F48+'VALOR POSTOS MÊS '!F62+(MAX(0,$C33-0.06*'VALOR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'!$D$149-$D33)</f>
        <v>8281.6094581818197</v>
      </c>
      <c r="G33" s="621">
        <f>(('VALOR POSTOS MÊS '!G40+('VALOR POSTOS MÊS '!G48+'VALOR POSTOS MÊS '!G62+(MAX(0,$C33-0.06*'VALOR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'!$D$149-$D33)</f>
        <v>10267.560367272728</v>
      </c>
      <c r="H33" s="621">
        <f>(('VALOR POSTOS MÊS '!H40+('VALOR POSTOS MÊS '!H48+'VALOR POSTOS MÊS '!H62+(MAX(0,$C33-0.06*'VALOR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'!$D$149-$D33)</f>
        <v>12184.771276363639</v>
      </c>
      <c r="I33" s="621">
        <f>(('VALOR POSTOS MÊS '!I40+('VALOR POSTOS MÊS '!I48+'VALOR POSTOS MÊS '!I62+(MAX(0,$C33-0.06*'VALOR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'!$D$149-$D33)</f>
        <v>15820.113094545455</v>
      </c>
      <c r="J33" s="621">
        <f>(('VALOR POSTOS MÊS '!J40+('VALOR POSTOS MÊS '!J48+'VALOR POSTOS MÊS '!J62+(MAX(0,$C33-0.06*'VALOR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'!$D$149-$D33)</f>
        <v>19964.125821818187</v>
      </c>
      <c r="K33" s="621">
        <f>(('VALOR POSTOS MÊS '!K40+('VALOR POSTOS MÊS '!K48+'VALOR POSTOS MÊS '!K62+(MAX(0,$C33-0.06*'VALOR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'!$D$149-$D33)</f>
        <v>10555.705821818183</v>
      </c>
      <c r="L33" s="621">
        <f>(('VALOR POSTOS MÊS '!L40+('VALOR POSTOS MÊS '!L48+'VALOR POSTOS MÊS '!L62+(MAX(0,$C33-0.06*'VALOR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'!$D$149-$D33)</f>
        <v>10285.696730909092</v>
      </c>
      <c r="M33" s="604">
        <f>'CADASTRO V-T e ISS'!H33</f>
        <v>1</v>
      </c>
      <c r="N33" s="604">
        <f>'CADASTRO V-T e ISS'!I33</f>
        <v>2</v>
      </c>
      <c r="O33" s="604">
        <f>'CADASTRO V-T e ISS'!J33</f>
        <v>0</v>
      </c>
      <c r="P33" s="604">
        <f>'CADASTRO V-T e ISS'!K33</f>
        <v>0</v>
      </c>
      <c r="Q33" s="604">
        <f>'CADASTRO V-T e ISS'!L33</f>
        <v>0</v>
      </c>
      <c r="R33" s="604">
        <f>'CADASTRO V-T e ISS'!M33</f>
        <v>0</v>
      </c>
      <c r="S33" s="604">
        <f>'CADASTRO V-T e ISS'!N33</f>
        <v>0</v>
      </c>
      <c r="T33" s="604">
        <f>'CADASTRO V-T e ISS'!O33</f>
        <v>0</v>
      </c>
      <c r="U33" s="608">
        <f t="shared" si="0"/>
        <v>24992.082920000004</v>
      </c>
      <c r="V33" s="608">
        <f t="shared" si="1"/>
        <v>499.84165840000009</v>
      </c>
      <c r="W33" s="608">
        <f t="shared" si="2"/>
        <v>25491.924578400005</v>
      </c>
      <c r="X33" s="608">
        <f t="shared" si="3"/>
        <v>611806.18988160009</v>
      </c>
    </row>
    <row r="34" spans="1:24">
      <c r="A34" s="604">
        <f>'CADASTRO V-T e ISS'!A34</f>
        <v>29</v>
      </c>
      <c r="B34" s="605" t="str">
        <f>'CADASTRO V-T e ISS'!B34</f>
        <v>Bela Cruz</v>
      </c>
      <c r="C34" s="606">
        <f>IF('CADASTRO V-T e ISS'!C34="SIM",'CADASTRO V-T e ISS'!D34*'CADASTRO V-T e ISS'!E34*'CADASTRO V-T e ISS'!F34,0)</f>
        <v>0</v>
      </c>
      <c r="D34" s="607">
        <f>'CADASTRO V-T e ISS'!G34</f>
        <v>0</v>
      </c>
      <c r="E34" s="621">
        <f>(('VALOR POSTOS MÊS '!E40+('VALOR POSTOS MÊS '!E48+'VALOR POSTOS MÊS '!E62+(MAX(0,$C34-0.06*'VALOR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'!$D$149-$D34)</f>
        <v>8428.8640036363649</v>
      </c>
      <c r="F34" s="621">
        <f>(('VALOR POSTOS MÊS '!F40+('VALOR POSTOS MÊS '!F48+'VALOR POSTOS MÊS '!F62+(MAX(0,$C34-0.06*'VALOR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'!$D$149-$D34)</f>
        <v>8281.6094581818197</v>
      </c>
      <c r="G34" s="621">
        <f>(('VALOR POSTOS MÊS '!G40+('VALOR POSTOS MÊS '!G48+'VALOR POSTOS MÊS '!G62+(MAX(0,$C34-0.06*'VALOR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'!$D$149-$D34)</f>
        <v>10267.560367272728</v>
      </c>
      <c r="H34" s="621">
        <f>(('VALOR POSTOS MÊS '!H40+('VALOR POSTOS MÊS '!H48+'VALOR POSTOS MÊS '!H62+(MAX(0,$C34-0.06*'VALOR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'!$D$149-$D34)</f>
        <v>12184.771276363639</v>
      </c>
      <c r="I34" s="621">
        <f>(('VALOR POSTOS MÊS '!I40+('VALOR POSTOS MÊS '!I48+'VALOR POSTOS MÊS '!I62+(MAX(0,$C34-0.06*'VALOR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'!$D$149-$D34)</f>
        <v>15820.113094545455</v>
      </c>
      <c r="J34" s="621">
        <f>(('VALOR POSTOS MÊS '!J40+('VALOR POSTOS MÊS '!J48+'VALOR POSTOS MÊS '!J62+(MAX(0,$C34-0.06*'VALOR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'!$D$149-$D34)</f>
        <v>19964.125821818187</v>
      </c>
      <c r="K34" s="621">
        <f>(('VALOR POSTOS MÊS '!K40+('VALOR POSTOS MÊS '!K48+'VALOR POSTOS MÊS '!K62+(MAX(0,$C34-0.06*'VALOR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'!$D$149-$D34)</f>
        <v>10555.705821818183</v>
      </c>
      <c r="L34" s="621">
        <f>(('VALOR POSTOS MÊS '!L40+('VALOR POSTOS MÊS '!L48+'VALOR POSTOS MÊS '!L62+(MAX(0,$C34-0.06*'VALOR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'!$D$149-$D34)</f>
        <v>10285.696730909092</v>
      </c>
      <c r="M34" s="604">
        <f>'CADASTRO V-T e ISS'!H34</f>
        <v>1</v>
      </c>
      <c r="N34" s="604">
        <f>'CADASTRO V-T e ISS'!I34</f>
        <v>1</v>
      </c>
      <c r="O34" s="604">
        <f>'CADASTRO V-T e ISS'!J34</f>
        <v>0</v>
      </c>
      <c r="P34" s="604">
        <f>'CADASTRO V-T e ISS'!K34</f>
        <v>0</v>
      </c>
      <c r="Q34" s="604">
        <f>'CADASTRO V-T e ISS'!L34</f>
        <v>0</v>
      </c>
      <c r="R34" s="604">
        <f>'CADASTRO V-T e ISS'!M34</f>
        <v>0</v>
      </c>
      <c r="S34" s="604">
        <f>'CADASTRO V-T e ISS'!N34</f>
        <v>0</v>
      </c>
      <c r="T34" s="604">
        <f>'CADASTRO V-T e ISS'!O34</f>
        <v>0</v>
      </c>
      <c r="U34" s="608">
        <f t="shared" si="0"/>
        <v>16710.473461818183</v>
      </c>
      <c r="V34" s="608">
        <f t="shared" si="1"/>
        <v>334.20946923636365</v>
      </c>
      <c r="W34" s="608">
        <f t="shared" si="2"/>
        <v>17044.682931054547</v>
      </c>
      <c r="X34" s="608">
        <f t="shared" si="3"/>
        <v>409072.39034530916</v>
      </c>
    </row>
    <row r="35" spans="1:24">
      <c r="A35" s="604">
        <f>'CADASTRO V-T e ISS'!A35</f>
        <v>30</v>
      </c>
      <c r="B35" s="605" t="str">
        <f>'CADASTRO V-T e ISS'!B35</f>
        <v>Boa Viagem</v>
      </c>
      <c r="C35" s="606">
        <f>IF('CADASTRO V-T e ISS'!C35="SIM",'CADASTRO V-T e ISS'!D35*'CADASTRO V-T e ISS'!E35*'CADASTRO V-T e ISS'!F35,0)</f>
        <v>0</v>
      </c>
      <c r="D35" s="607">
        <f>'CADASTRO V-T e ISS'!G35</f>
        <v>0</v>
      </c>
      <c r="E35" s="621">
        <f>(('VALOR POSTOS MÊS '!E40+('VALOR POSTOS MÊS '!E48+'VALOR POSTOS MÊS '!E62+(MAX(0,$C35-0.06*'VALOR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'!$D$149-$D35)</f>
        <v>8428.8640036363649</v>
      </c>
      <c r="F35" s="621">
        <f>(('VALOR POSTOS MÊS '!F40+('VALOR POSTOS MÊS '!F48+'VALOR POSTOS MÊS '!F62+(MAX(0,$C35-0.06*'VALOR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'!$D$149-$D35)</f>
        <v>8281.6094581818197</v>
      </c>
      <c r="G35" s="621">
        <f>(('VALOR POSTOS MÊS '!G40+('VALOR POSTOS MÊS '!G48+'VALOR POSTOS MÊS '!G62+(MAX(0,$C35-0.06*'VALOR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'!$D$149-$D35)</f>
        <v>10267.560367272728</v>
      </c>
      <c r="H35" s="621">
        <f>(('VALOR POSTOS MÊS '!H40+('VALOR POSTOS MÊS '!H48+'VALOR POSTOS MÊS '!H62+(MAX(0,$C35-0.06*'VALOR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'!$D$149-$D35)</f>
        <v>12184.771276363639</v>
      </c>
      <c r="I35" s="621">
        <f>(('VALOR POSTOS MÊS '!I40+('VALOR POSTOS MÊS '!I48+'VALOR POSTOS MÊS '!I62+(MAX(0,$C35-0.06*'VALOR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'!$D$149-$D35)</f>
        <v>15820.113094545455</v>
      </c>
      <c r="J35" s="621">
        <f>(('VALOR POSTOS MÊS '!J40+('VALOR POSTOS MÊS '!J48+'VALOR POSTOS MÊS '!J62+(MAX(0,$C35-0.06*'VALOR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'!$D$149-$D35)</f>
        <v>19964.125821818187</v>
      </c>
      <c r="K35" s="621">
        <f>(('VALOR POSTOS MÊS '!K40+('VALOR POSTOS MÊS '!K48+'VALOR POSTOS MÊS '!K62+(MAX(0,$C35-0.06*'VALOR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'!$D$149-$D35)</f>
        <v>10555.705821818183</v>
      </c>
      <c r="L35" s="621">
        <f>(('VALOR POSTOS MÊS '!L40+('VALOR POSTOS MÊS '!L48+'VALOR POSTOS MÊS '!L62+(MAX(0,$C35-0.06*'VALOR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'!$D$149-$D35)</f>
        <v>10285.696730909092</v>
      </c>
      <c r="M35" s="604">
        <f>'CADASTRO V-T e ISS'!H35</f>
        <v>1</v>
      </c>
      <c r="N35" s="604">
        <f>'CADASTRO V-T e ISS'!I35</f>
        <v>2</v>
      </c>
      <c r="O35" s="604">
        <f>'CADASTRO V-T e ISS'!J35</f>
        <v>0</v>
      </c>
      <c r="P35" s="604">
        <f>'CADASTRO V-T e ISS'!K35</f>
        <v>0</v>
      </c>
      <c r="Q35" s="604">
        <f>'CADASTRO V-T e ISS'!L35</f>
        <v>0</v>
      </c>
      <c r="R35" s="604">
        <f>'CADASTRO V-T e ISS'!M35</f>
        <v>0</v>
      </c>
      <c r="S35" s="604">
        <f>'CADASTRO V-T e ISS'!N35</f>
        <v>0</v>
      </c>
      <c r="T35" s="604">
        <f>'CADASTRO V-T e ISS'!O35</f>
        <v>0</v>
      </c>
      <c r="U35" s="608">
        <f t="shared" si="0"/>
        <v>24992.082920000004</v>
      </c>
      <c r="V35" s="608">
        <f t="shared" si="1"/>
        <v>499.84165840000009</v>
      </c>
      <c r="W35" s="608">
        <f t="shared" si="2"/>
        <v>25491.924578400005</v>
      </c>
      <c r="X35" s="608">
        <f t="shared" si="3"/>
        <v>611806.18988160009</v>
      </c>
    </row>
    <row r="36" spans="1:24">
      <c r="A36" s="604">
        <f>'CADASTRO V-T e ISS'!A36</f>
        <v>31</v>
      </c>
      <c r="B36" s="605" t="str">
        <f>'CADASTRO V-T e ISS'!B36</f>
        <v>Brejo Santo</v>
      </c>
      <c r="C36" s="606">
        <f>IF('CADASTRO V-T e ISS'!C36="SIM",'CADASTRO V-T e ISS'!D36*'CADASTRO V-T e ISS'!E36*'CADASTRO V-T e ISS'!F36,0)</f>
        <v>0</v>
      </c>
      <c r="D36" s="607">
        <f>'CADASTRO V-T e ISS'!G36</f>
        <v>0</v>
      </c>
      <c r="E36" s="621">
        <f>(('VALOR POSTOS MÊS '!E40+('VALOR POSTOS MÊS '!E48+'VALOR POSTOS MÊS '!E62+(MAX(0,$C36-0.06*'VALOR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'!$D$149-$D36)</f>
        <v>8428.8640036363649</v>
      </c>
      <c r="F36" s="621">
        <f>(('VALOR POSTOS MÊS '!F40+('VALOR POSTOS MÊS '!F48+'VALOR POSTOS MÊS '!F62+(MAX(0,$C36-0.06*'VALOR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'!$D$149-$D36)</f>
        <v>8281.6094581818197</v>
      </c>
      <c r="G36" s="621">
        <f>(('VALOR POSTOS MÊS '!G40+('VALOR POSTOS MÊS '!G48+'VALOR POSTOS MÊS '!G62+(MAX(0,$C36-0.06*'VALOR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'!$D$149-$D36)</f>
        <v>10267.560367272728</v>
      </c>
      <c r="H36" s="621">
        <f>(('VALOR POSTOS MÊS '!H40+('VALOR POSTOS MÊS '!H48+'VALOR POSTOS MÊS '!H62+(MAX(0,$C36-0.06*'VALOR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'!$D$149-$D36)</f>
        <v>12184.771276363639</v>
      </c>
      <c r="I36" s="621">
        <f>(('VALOR POSTOS MÊS '!I40+('VALOR POSTOS MÊS '!I48+'VALOR POSTOS MÊS '!I62+(MAX(0,$C36-0.06*'VALOR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'!$D$149-$D36)</f>
        <v>15820.113094545455</v>
      </c>
      <c r="J36" s="621">
        <f>(('VALOR POSTOS MÊS '!J40+('VALOR POSTOS MÊS '!J48+'VALOR POSTOS MÊS '!J62+(MAX(0,$C36-0.06*'VALOR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'!$D$149-$D36)</f>
        <v>19964.125821818187</v>
      </c>
      <c r="K36" s="621">
        <f>(('VALOR POSTOS MÊS '!K40+('VALOR POSTOS MÊS '!K48+'VALOR POSTOS MÊS '!K62+(MAX(0,$C36-0.06*'VALOR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'!$D$149-$D36)</f>
        <v>10555.705821818183</v>
      </c>
      <c r="L36" s="621">
        <f>(('VALOR POSTOS MÊS '!L40+('VALOR POSTOS MÊS '!L48+'VALOR POSTOS MÊS '!L62+(MAX(0,$C36-0.06*'VALOR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'!$D$149-$D36)</f>
        <v>10285.696730909092</v>
      </c>
      <c r="M36" s="604">
        <f>'CADASTRO V-T e ISS'!H36</f>
        <v>1</v>
      </c>
      <c r="N36" s="604">
        <f>'CADASTRO V-T e ISS'!I36</f>
        <v>2</v>
      </c>
      <c r="O36" s="604">
        <f>'CADASTRO V-T e ISS'!J36</f>
        <v>0</v>
      </c>
      <c r="P36" s="604">
        <f>'CADASTRO V-T e ISS'!K36</f>
        <v>0</v>
      </c>
      <c r="Q36" s="604">
        <f>'CADASTRO V-T e ISS'!L36</f>
        <v>0</v>
      </c>
      <c r="R36" s="604">
        <f>'CADASTRO V-T e ISS'!M36</f>
        <v>0</v>
      </c>
      <c r="S36" s="604">
        <f>'CADASTRO V-T e ISS'!N36</f>
        <v>0</v>
      </c>
      <c r="T36" s="604">
        <f>'CADASTRO V-T e ISS'!O36</f>
        <v>0</v>
      </c>
      <c r="U36" s="608">
        <f t="shared" si="0"/>
        <v>24992.082920000004</v>
      </c>
      <c r="V36" s="608">
        <f t="shared" si="1"/>
        <v>499.84165840000009</v>
      </c>
      <c r="W36" s="608">
        <f t="shared" si="2"/>
        <v>25491.924578400005</v>
      </c>
      <c r="X36" s="608">
        <f t="shared" si="3"/>
        <v>611806.18988160009</v>
      </c>
    </row>
    <row r="37" spans="1:24">
      <c r="A37" s="604">
        <f>'CADASTRO V-T e ISS'!A37</f>
        <v>32</v>
      </c>
      <c r="B37" s="605" t="str">
        <f>'CADASTRO V-T e ISS'!B37</f>
        <v>Camocim</v>
      </c>
      <c r="C37" s="606">
        <f>IF('CADASTRO V-T e ISS'!C37="SIM",'CADASTRO V-T e ISS'!D37*'CADASTRO V-T e ISS'!E37*'CADASTRO V-T e ISS'!F37,0)</f>
        <v>0</v>
      </c>
      <c r="D37" s="607">
        <f>'CADASTRO V-T e ISS'!G37</f>
        <v>0</v>
      </c>
      <c r="E37" s="621">
        <f>(('VALOR POSTOS MÊS '!E40+('VALOR POSTOS MÊS '!E48+'VALOR POSTOS MÊS '!E62+(MAX(0,$C37-0.06*'VALOR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'!$D$149-$D37)</f>
        <v>8428.8640036363649</v>
      </c>
      <c r="F37" s="621">
        <f>(('VALOR POSTOS MÊS '!F40+('VALOR POSTOS MÊS '!F48+'VALOR POSTOS MÊS '!F62+(MAX(0,$C37-0.06*'VALOR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'!$D$149-$D37)</f>
        <v>8281.6094581818197</v>
      </c>
      <c r="G37" s="621">
        <f>(('VALOR POSTOS MÊS '!G40+('VALOR POSTOS MÊS '!G48+'VALOR POSTOS MÊS '!G62+(MAX(0,$C37-0.06*'VALOR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'!$D$149-$D37)</f>
        <v>10267.560367272728</v>
      </c>
      <c r="H37" s="621">
        <f>(('VALOR POSTOS MÊS '!H40+('VALOR POSTOS MÊS '!H48+'VALOR POSTOS MÊS '!H62+(MAX(0,$C37-0.06*'VALOR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'!$D$149-$D37)</f>
        <v>12184.771276363639</v>
      </c>
      <c r="I37" s="621">
        <f>(('VALOR POSTOS MÊS '!I40+('VALOR POSTOS MÊS '!I48+'VALOR POSTOS MÊS '!I62+(MAX(0,$C37-0.06*'VALOR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'!$D$149-$D37)</f>
        <v>15820.113094545455</v>
      </c>
      <c r="J37" s="621">
        <f>(('VALOR POSTOS MÊS '!J40+('VALOR POSTOS MÊS '!J48+'VALOR POSTOS MÊS '!J62+(MAX(0,$C37-0.06*'VALOR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'!$D$149-$D37)</f>
        <v>19964.125821818187</v>
      </c>
      <c r="K37" s="621">
        <f>(('VALOR POSTOS MÊS '!K40+('VALOR POSTOS MÊS '!K48+'VALOR POSTOS MÊS '!K62+(MAX(0,$C37-0.06*'VALOR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'!$D$149-$D37)</f>
        <v>10555.705821818183</v>
      </c>
      <c r="L37" s="621">
        <f>(('VALOR POSTOS MÊS '!L40+('VALOR POSTOS MÊS '!L48+'VALOR POSTOS MÊS '!L62+(MAX(0,$C37-0.06*'VALOR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'!$D$149-$D37)</f>
        <v>10285.696730909092</v>
      </c>
      <c r="M37" s="604">
        <f>'CADASTRO V-T e ISS'!H37</f>
        <v>1</v>
      </c>
      <c r="N37" s="604">
        <f>'CADASTRO V-T e ISS'!I37</f>
        <v>2</v>
      </c>
      <c r="O37" s="604">
        <f>'CADASTRO V-T e ISS'!J37</f>
        <v>0</v>
      </c>
      <c r="P37" s="604">
        <f>'CADASTRO V-T e ISS'!K37</f>
        <v>0</v>
      </c>
      <c r="Q37" s="604">
        <f>'CADASTRO V-T e ISS'!L37</f>
        <v>0</v>
      </c>
      <c r="R37" s="604">
        <f>'CADASTRO V-T e ISS'!M37</f>
        <v>0</v>
      </c>
      <c r="S37" s="604">
        <f>'CADASTRO V-T e ISS'!N37</f>
        <v>0</v>
      </c>
      <c r="T37" s="604">
        <f>'CADASTRO V-T e ISS'!O37</f>
        <v>0</v>
      </c>
      <c r="U37" s="608">
        <f t="shared" si="0"/>
        <v>24992.082920000004</v>
      </c>
      <c r="V37" s="608">
        <f t="shared" si="1"/>
        <v>499.84165840000009</v>
      </c>
      <c r="W37" s="608">
        <f t="shared" si="2"/>
        <v>25491.924578400005</v>
      </c>
      <c r="X37" s="608">
        <f t="shared" si="3"/>
        <v>611806.18988160009</v>
      </c>
    </row>
    <row r="38" spans="1:24">
      <c r="A38" s="604">
        <f>'CADASTRO V-T e ISS'!A38</f>
        <v>33</v>
      </c>
      <c r="B38" s="605" t="str">
        <f>'CADASTRO V-T e ISS'!B38</f>
        <v>Campos Sales</v>
      </c>
      <c r="C38" s="606">
        <f>IF('CADASTRO V-T e ISS'!C38="SIM",'CADASTRO V-T e ISS'!D38*'CADASTRO V-T e ISS'!E38*'CADASTRO V-T e ISS'!F38,0)</f>
        <v>0</v>
      </c>
      <c r="D38" s="607">
        <f>'CADASTRO V-T e ISS'!G38</f>
        <v>0</v>
      </c>
      <c r="E38" s="621">
        <f>(('VALOR POSTOS MÊS '!E40+('VALOR POSTOS MÊS '!E48+'VALOR POSTOS MÊS '!E62+(MAX(0,$C38-0.06*'VALOR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'!$D$149-$D38)</f>
        <v>8428.8640036363649</v>
      </c>
      <c r="F38" s="621">
        <f>(('VALOR POSTOS MÊS '!F40+('VALOR POSTOS MÊS '!F48+'VALOR POSTOS MÊS '!F62+(MAX(0,$C38-0.06*'VALOR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'!$D$149-$D38)</f>
        <v>8281.6094581818197</v>
      </c>
      <c r="G38" s="621">
        <f>(('VALOR POSTOS MÊS '!G40+('VALOR POSTOS MÊS '!G48+'VALOR POSTOS MÊS '!G62+(MAX(0,$C38-0.06*'VALOR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'!$D$149-$D38)</f>
        <v>10267.560367272728</v>
      </c>
      <c r="H38" s="621">
        <f>(('VALOR POSTOS MÊS '!H40+('VALOR POSTOS MÊS '!H48+'VALOR POSTOS MÊS '!H62+(MAX(0,$C38-0.06*'VALOR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'!$D$149-$D38)</f>
        <v>12184.771276363639</v>
      </c>
      <c r="I38" s="621">
        <f>(('VALOR POSTOS MÊS '!I40+('VALOR POSTOS MÊS '!I48+'VALOR POSTOS MÊS '!I62+(MAX(0,$C38-0.06*'VALOR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'!$D$149-$D38)</f>
        <v>15820.113094545455</v>
      </c>
      <c r="J38" s="621">
        <f>(('VALOR POSTOS MÊS '!J40+('VALOR POSTOS MÊS '!J48+'VALOR POSTOS MÊS '!J62+(MAX(0,$C38-0.06*'VALOR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'!$D$149-$D38)</f>
        <v>19964.125821818187</v>
      </c>
      <c r="K38" s="621">
        <f>(('VALOR POSTOS MÊS '!K40+('VALOR POSTOS MÊS '!K48+'VALOR POSTOS MÊS '!K62+(MAX(0,$C38-0.06*'VALOR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'!$D$149-$D38)</f>
        <v>10555.705821818183</v>
      </c>
      <c r="L38" s="621">
        <f>(('VALOR POSTOS MÊS '!L40+('VALOR POSTOS MÊS '!L48+'VALOR POSTOS MÊS '!L62+(MAX(0,$C38-0.06*'VALOR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'!$D$149-$D38)</f>
        <v>10285.696730909092</v>
      </c>
      <c r="M38" s="604">
        <f>'CADASTRO V-T e ISS'!H38</f>
        <v>1</v>
      </c>
      <c r="N38" s="604">
        <f>'CADASTRO V-T e ISS'!I38</f>
        <v>1</v>
      </c>
      <c r="O38" s="604">
        <f>'CADASTRO V-T e ISS'!J38</f>
        <v>0</v>
      </c>
      <c r="P38" s="604">
        <f>'CADASTRO V-T e ISS'!K38</f>
        <v>0</v>
      </c>
      <c r="Q38" s="604">
        <f>'CADASTRO V-T e ISS'!L38</f>
        <v>0</v>
      </c>
      <c r="R38" s="604">
        <f>'CADASTRO V-T e ISS'!M38</f>
        <v>0</v>
      </c>
      <c r="S38" s="604">
        <f>'CADASTRO V-T e ISS'!N38</f>
        <v>0</v>
      </c>
      <c r="T38" s="604">
        <f>'CADASTRO V-T e ISS'!O38</f>
        <v>0</v>
      </c>
      <c r="U38" s="608">
        <f t="shared" ref="U38:U69" si="4">SUMPRODUCT(E38:L38,M38:T38)</f>
        <v>16710.473461818183</v>
      </c>
      <c r="V38" s="608">
        <f t="shared" ref="V38:V69" si="5">U38*0.02</f>
        <v>334.20946923636365</v>
      </c>
      <c r="W38" s="608">
        <f t="shared" ref="W38:W69" si="6">U38+V38</f>
        <v>17044.682931054547</v>
      </c>
      <c r="X38" s="608">
        <f t="shared" ref="X38:X69" si="7">W38*24</f>
        <v>409072.39034530916</v>
      </c>
    </row>
    <row r="39" spans="1:24">
      <c r="A39" s="604">
        <f>'CADASTRO V-T e ISS'!A39</f>
        <v>34</v>
      </c>
      <c r="B39" s="605" t="str">
        <f>'CADASTRO V-T e ISS'!B39</f>
        <v>Canindé</v>
      </c>
      <c r="C39" s="606">
        <f>IF('CADASTRO V-T e ISS'!C39="SIM",'CADASTRO V-T e ISS'!D39*'CADASTRO V-T e ISS'!E39*'CADASTRO V-T e ISS'!F39,0)</f>
        <v>0</v>
      </c>
      <c r="D39" s="607">
        <f>'CADASTRO V-T e ISS'!G39</f>
        <v>0</v>
      </c>
      <c r="E39" s="621">
        <f>(('VALOR POSTOS MÊS '!E40+('VALOR POSTOS MÊS '!E48+'VALOR POSTOS MÊS '!E62+(MAX(0,$C39-0.06*'VALOR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'!E62+(MAX(0,$C39-0.06*'VALOR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'!$D$149-$D39)</f>
        <v>8428.8640036363649</v>
      </c>
      <c r="F39" s="621">
        <f>(('VALOR POSTOS MÊS '!F40+('VALOR POSTOS MÊS '!F48+'VALOR POSTOS MÊS '!F62+(MAX(0,$C39-0.06*'VALOR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'!F62+(MAX(0,$C39-0.06*'VALOR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'!$D$149-$D39)</f>
        <v>8281.6094581818197</v>
      </c>
      <c r="G39" s="621">
        <f>(('VALOR POSTOS MÊS '!G40+('VALOR POSTOS MÊS '!G48+'VALOR POSTOS MÊS '!G62+(MAX(0,$C39-0.06*'VALOR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'!G62+(MAX(0,$C39-0.06*'VALOR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'!$D$149-$D39)</f>
        <v>10267.560367272728</v>
      </c>
      <c r="H39" s="621">
        <f>(('VALOR POSTOS MÊS '!H40+('VALOR POSTOS MÊS '!H48+'VALOR POSTOS MÊS '!H62+(MAX(0,$C39-0.06*'VALOR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'!H62+(MAX(0,$C39-0.06*'VALOR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'!$D$149-$D39)</f>
        <v>12184.771276363639</v>
      </c>
      <c r="I39" s="621">
        <f>(('VALOR POSTOS MÊS '!I40+('VALOR POSTOS MÊS '!I48+'VALOR POSTOS MÊS '!I62+(MAX(0,$C39-0.06*'VALOR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'!I62+(MAX(0,$C39-0.06*'VALOR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'!$D$149-$D39)</f>
        <v>15820.113094545455</v>
      </c>
      <c r="J39" s="621">
        <f>(('VALOR POSTOS MÊS '!J40+('VALOR POSTOS MÊS '!J48+'VALOR POSTOS MÊS '!J62+(MAX(0,$C39-0.06*'VALOR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'!J62+(MAX(0,$C39-0.06*'VALOR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'!$D$149-$D39)</f>
        <v>19964.125821818187</v>
      </c>
      <c r="K39" s="621">
        <f>(('VALOR POSTOS MÊS '!K40+('VALOR POSTOS MÊS '!K48+'VALOR POSTOS MÊS '!K62+(MAX(0,$C39-0.06*'VALOR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'!K62+(MAX(0,$C39-0.06*'VALOR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'!$D$149-$D39)</f>
        <v>10555.705821818183</v>
      </c>
      <c r="L39" s="621">
        <f>(('VALOR POSTOS MÊS '!L40+('VALOR POSTOS MÊS '!L48+'VALOR POSTOS MÊS '!L62+(MAX(0,$C39-0.06*'VALOR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'!L62+(MAX(0,$C39-0.06*'VALOR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'!$D$149-$D39)</f>
        <v>10285.696730909092</v>
      </c>
      <c r="M39" s="604">
        <f>'CADASTRO V-T e ISS'!H39</f>
        <v>1</v>
      </c>
      <c r="N39" s="604">
        <f>'CADASTRO V-T e ISS'!I39</f>
        <v>2</v>
      </c>
      <c r="O39" s="604">
        <f>'CADASTRO V-T e ISS'!J39</f>
        <v>0</v>
      </c>
      <c r="P39" s="604">
        <f>'CADASTRO V-T e ISS'!K39</f>
        <v>0</v>
      </c>
      <c r="Q39" s="604">
        <f>'CADASTRO V-T e ISS'!L39</f>
        <v>0</v>
      </c>
      <c r="R39" s="604">
        <f>'CADASTRO V-T e ISS'!M39</f>
        <v>0</v>
      </c>
      <c r="S39" s="604">
        <f>'CADASTRO V-T e ISS'!N39</f>
        <v>0</v>
      </c>
      <c r="T39" s="604">
        <f>'CADASTRO V-T e ISS'!O39</f>
        <v>0</v>
      </c>
      <c r="U39" s="608">
        <f t="shared" si="4"/>
        <v>24992.082920000004</v>
      </c>
      <c r="V39" s="608">
        <f t="shared" si="5"/>
        <v>499.84165840000009</v>
      </c>
      <c r="W39" s="608">
        <f t="shared" si="6"/>
        <v>25491.924578400005</v>
      </c>
      <c r="X39" s="608">
        <f t="shared" si="7"/>
        <v>611806.18988160009</v>
      </c>
    </row>
    <row r="40" spans="1:24">
      <c r="A40" s="604">
        <f>'CADASTRO V-T e ISS'!A40</f>
        <v>35</v>
      </c>
      <c r="B40" s="605" t="str">
        <f>'CADASTRO V-T e ISS'!B40</f>
        <v>Capistrano</v>
      </c>
      <c r="C40" s="606">
        <f>IF('CADASTRO V-T e ISS'!C40="SIM",'CADASTRO V-T e ISS'!D40*'CADASTRO V-T e ISS'!E40*'CADASTRO V-T e ISS'!F40,0)</f>
        <v>0</v>
      </c>
      <c r="D40" s="607">
        <f>'CADASTRO V-T e ISS'!G40</f>
        <v>0</v>
      </c>
      <c r="E40" s="621">
        <f>(('VALOR POSTOS MÊS '!E40+('VALOR POSTOS MÊS '!E48+'VALOR POSTOS MÊS '!E62+(MAX(0,$C40-0.06*'VALOR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'!$D$149-$D40)</f>
        <v>8428.8640036363649</v>
      </c>
      <c r="F40" s="621">
        <f>(('VALOR POSTOS MÊS '!F40+('VALOR POSTOS MÊS '!F48+'VALOR POSTOS MÊS '!F62+(MAX(0,$C40-0.06*'VALOR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'!$D$149-$D40)</f>
        <v>8281.6094581818197</v>
      </c>
      <c r="G40" s="621">
        <f>(('VALOR POSTOS MÊS '!G40+('VALOR POSTOS MÊS '!G48+'VALOR POSTOS MÊS '!G62+(MAX(0,$C40-0.06*'VALOR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'!$D$149-$D40)</f>
        <v>10267.560367272728</v>
      </c>
      <c r="H40" s="621">
        <f>(('VALOR POSTOS MÊS '!H40+('VALOR POSTOS MÊS '!H48+'VALOR POSTOS MÊS '!H62+(MAX(0,$C40-0.06*'VALOR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'!$D$149-$D40)</f>
        <v>12184.771276363639</v>
      </c>
      <c r="I40" s="621">
        <f>(('VALOR POSTOS MÊS '!I40+('VALOR POSTOS MÊS '!I48+'VALOR POSTOS MÊS '!I62+(MAX(0,$C40-0.06*'VALOR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'!$D$149-$D40)</f>
        <v>15820.113094545455</v>
      </c>
      <c r="J40" s="621">
        <f>(('VALOR POSTOS MÊS '!J40+('VALOR POSTOS MÊS '!J48+'VALOR POSTOS MÊS '!J62+(MAX(0,$C40-0.06*'VALOR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'!$D$149-$D40)</f>
        <v>19964.125821818187</v>
      </c>
      <c r="K40" s="621">
        <f>(('VALOR POSTOS MÊS '!K40+('VALOR POSTOS MÊS '!K48+'VALOR POSTOS MÊS '!K62+(MAX(0,$C40-0.06*'VALOR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'!$D$149-$D40)</f>
        <v>10555.705821818183</v>
      </c>
      <c r="L40" s="621">
        <f>(('VALOR POSTOS MÊS '!L40+('VALOR POSTOS MÊS '!L48+'VALOR POSTOS MÊS '!L62+(MAX(0,$C40-0.06*'VALOR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'!$D$149-$D40)</f>
        <v>10285.696730909092</v>
      </c>
      <c r="M40" s="604">
        <f>'CADASTRO V-T e ISS'!H40</f>
        <v>1</v>
      </c>
      <c r="N40" s="604">
        <f>'CADASTRO V-T e ISS'!I40</f>
        <v>1</v>
      </c>
      <c r="O40" s="604">
        <f>'CADASTRO V-T e ISS'!J40</f>
        <v>0</v>
      </c>
      <c r="P40" s="604">
        <f>'CADASTRO V-T e ISS'!K40</f>
        <v>0</v>
      </c>
      <c r="Q40" s="604">
        <f>'CADASTRO V-T e ISS'!L40</f>
        <v>0</v>
      </c>
      <c r="R40" s="604">
        <f>'CADASTRO V-T e ISS'!M40</f>
        <v>0</v>
      </c>
      <c r="S40" s="604">
        <f>'CADASTRO V-T e ISS'!N40</f>
        <v>0</v>
      </c>
      <c r="T40" s="604">
        <f>'CADASTRO V-T e ISS'!O40</f>
        <v>0</v>
      </c>
      <c r="U40" s="608">
        <f t="shared" si="4"/>
        <v>16710.473461818183</v>
      </c>
      <c r="V40" s="608">
        <f t="shared" si="5"/>
        <v>334.20946923636365</v>
      </c>
      <c r="W40" s="608">
        <f t="shared" si="6"/>
        <v>17044.682931054547</v>
      </c>
      <c r="X40" s="608">
        <f t="shared" si="7"/>
        <v>409072.39034530916</v>
      </c>
    </row>
    <row r="41" spans="1:24">
      <c r="A41" s="604">
        <f>'CADASTRO V-T e ISS'!A41</f>
        <v>36</v>
      </c>
      <c r="B41" s="605" t="str">
        <f>'CADASTRO V-T e ISS'!B41</f>
        <v>Caridade</v>
      </c>
      <c r="C41" s="606">
        <f>IF('CADASTRO V-T e ISS'!C41="SIM",'CADASTRO V-T e ISS'!D41*'CADASTRO V-T e ISS'!E41*'CADASTRO V-T e ISS'!F41,0)</f>
        <v>0</v>
      </c>
      <c r="D41" s="607">
        <f>'CADASTRO V-T e ISS'!G41</f>
        <v>0</v>
      </c>
      <c r="E41" s="621">
        <f>(('VALOR POSTOS MÊS '!E40+('VALOR POSTOS MÊS '!E48+'VALOR POSTOS MÊS '!E62+(MAX(0,$C41-0.06*'VALOR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'!$D$149-$D41)</f>
        <v>8428.8640036363649</v>
      </c>
      <c r="F41" s="621">
        <f>(('VALOR POSTOS MÊS '!F40+('VALOR POSTOS MÊS '!F48+'VALOR POSTOS MÊS '!F62+(MAX(0,$C41-0.06*'VALOR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'!$D$149-$D41)</f>
        <v>8281.6094581818197</v>
      </c>
      <c r="G41" s="621">
        <f>(('VALOR POSTOS MÊS '!G40+('VALOR POSTOS MÊS '!G48+'VALOR POSTOS MÊS '!G62+(MAX(0,$C41-0.06*'VALOR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'!$D$149-$D41)</f>
        <v>10267.560367272728</v>
      </c>
      <c r="H41" s="621">
        <f>(('VALOR POSTOS MÊS '!H40+('VALOR POSTOS MÊS '!H48+'VALOR POSTOS MÊS '!H62+(MAX(0,$C41-0.06*'VALOR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'!$D$149-$D41)</f>
        <v>12184.771276363639</v>
      </c>
      <c r="I41" s="621">
        <f>(('VALOR POSTOS MÊS '!I40+('VALOR POSTOS MÊS '!I48+'VALOR POSTOS MÊS '!I62+(MAX(0,$C41-0.06*'VALOR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'!$D$149-$D41)</f>
        <v>15820.113094545455</v>
      </c>
      <c r="J41" s="621">
        <f>(('VALOR POSTOS MÊS '!J40+('VALOR POSTOS MÊS '!J48+'VALOR POSTOS MÊS '!J62+(MAX(0,$C41-0.06*'VALOR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'!$D$149-$D41)</f>
        <v>19964.125821818187</v>
      </c>
      <c r="K41" s="621">
        <f>(('VALOR POSTOS MÊS '!K40+('VALOR POSTOS MÊS '!K48+'VALOR POSTOS MÊS '!K62+(MAX(0,$C41-0.06*'VALOR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'!$D$149-$D41)</f>
        <v>10555.705821818183</v>
      </c>
      <c r="L41" s="621">
        <f>(('VALOR POSTOS MÊS '!L40+('VALOR POSTOS MÊS '!L48+'VALOR POSTOS MÊS '!L62+(MAX(0,$C41-0.06*'VALOR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'!$D$149-$D41)</f>
        <v>10285.696730909092</v>
      </c>
      <c r="M41" s="604">
        <f>'CADASTRO V-T e ISS'!H41</f>
        <v>1</v>
      </c>
      <c r="N41" s="604">
        <f>'CADASTRO V-T e ISS'!I41</f>
        <v>1</v>
      </c>
      <c r="O41" s="604">
        <f>'CADASTRO V-T e ISS'!J41</f>
        <v>0</v>
      </c>
      <c r="P41" s="604">
        <f>'CADASTRO V-T e ISS'!K41</f>
        <v>0</v>
      </c>
      <c r="Q41" s="604">
        <f>'CADASTRO V-T e ISS'!L41</f>
        <v>0</v>
      </c>
      <c r="R41" s="604">
        <f>'CADASTRO V-T e ISS'!M41</f>
        <v>0</v>
      </c>
      <c r="S41" s="604">
        <f>'CADASTRO V-T e ISS'!N41</f>
        <v>0</v>
      </c>
      <c r="T41" s="604">
        <f>'CADASTRO V-T e ISS'!O41</f>
        <v>0</v>
      </c>
      <c r="U41" s="608">
        <f t="shared" si="4"/>
        <v>16710.473461818183</v>
      </c>
      <c r="V41" s="608">
        <f t="shared" si="5"/>
        <v>334.20946923636365</v>
      </c>
      <c r="W41" s="608">
        <f t="shared" si="6"/>
        <v>17044.682931054547</v>
      </c>
      <c r="X41" s="608">
        <f t="shared" si="7"/>
        <v>409072.39034530916</v>
      </c>
    </row>
    <row r="42" spans="1:24">
      <c r="A42" s="604">
        <f>'CADASTRO V-T e ISS'!A42</f>
        <v>37</v>
      </c>
      <c r="B42" s="605" t="str">
        <f>'CADASTRO V-T e ISS'!B42</f>
        <v>Caririaçu</v>
      </c>
      <c r="C42" s="606">
        <f>IF('CADASTRO V-T e ISS'!C42="SIM",'CADASTRO V-T e ISS'!D42*'CADASTRO V-T e ISS'!E42*'CADASTRO V-T e ISS'!F42,0)</f>
        <v>0</v>
      </c>
      <c r="D42" s="607">
        <f>'CADASTRO V-T e ISS'!G42</f>
        <v>0</v>
      </c>
      <c r="E42" s="621">
        <f>(('VALOR POSTOS MÊS '!E40+('VALOR POSTOS MÊS '!E48+'VALOR POSTOS MÊS '!E62+(MAX(0,$C42-0.06*'VALOR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'!$D$149-$D42)</f>
        <v>8428.8640036363649</v>
      </c>
      <c r="F42" s="621">
        <f>(('VALOR POSTOS MÊS '!F40+('VALOR POSTOS MÊS '!F48+'VALOR POSTOS MÊS '!F62+(MAX(0,$C42-0.06*'VALOR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'!$D$149-$D42)</f>
        <v>8281.6094581818197</v>
      </c>
      <c r="G42" s="621">
        <f>(('VALOR POSTOS MÊS '!G40+('VALOR POSTOS MÊS '!G48+'VALOR POSTOS MÊS '!G62+(MAX(0,$C42-0.06*'VALOR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'!$D$149-$D42)</f>
        <v>10267.560367272728</v>
      </c>
      <c r="H42" s="621">
        <f>(('VALOR POSTOS MÊS '!H40+('VALOR POSTOS MÊS '!H48+'VALOR POSTOS MÊS '!H62+(MAX(0,$C42-0.06*'VALOR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'!$D$149-$D42)</f>
        <v>12184.771276363639</v>
      </c>
      <c r="I42" s="621">
        <f>(('VALOR POSTOS MÊS '!I40+('VALOR POSTOS MÊS '!I48+'VALOR POSTOS MÊS '!I62+(MAX(0,$C42-0.06*'VALOR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'!$D$149-$D42)</f>
        <v>15820.113094545455</v>
      </c>
      <c r="J42" s="621">
        <f>(('VALOR POSTOS MÊS '!J40+('VALOR POSTOS MÊS '!J48+'VALOR POSTOS MÊS '!J62+(MAX(0,$C42-0.06*'VALOR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'!$D$149-$D42)</f>
        <v>19964.125821818187</v>
      </c>
      <c r="K42" s="621">
        <f>(('VALOR POSTOS MÊS '!K40+('VALOR POSTOS MÊS '!K48+'VALOR POSTOS MÊS '!K62+(MAX(0,$C42-0.06*'VALOR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'!$D$149-$D42)</f>
        <v>10555.705821818183</v>
      </c>
      <c r="L42" s="621">
        <f>(('VALOR POSTOS MÊS '!L40+('VALOR POSTOS MÊS '!L48+'VALOR POSTOS MÊS '!L62+(MAX(0,$C42-0.06*'VALOR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'!$D$149-$D42)</f>
        <v>10285.696730909092</v>
      </c>
      <c r="M42" s="604">
        <f>'CADASTRO V-T e ISS'!H42</f>
        <v>1</v>
      </c>
      <c r="N42" s="604">
        <f>'CADASTRO V-T e ISS'!I42</f>
        <v>1</v>
      </c>
      <c r="O42" s="604">
        <f>'CADASTRO V-T e ISS'!J42</f>
        <v>0</v>
      </c>
      <c r="P42" s="604">
        <f>'CADASTRO V-T e ISS'!K42</f>
        <v>0</v>
      </c>
      <c r="Q42" s="604">
        <f>'CADASTRO V-T e ISS'!L42</f>
        <v>0</v>
      </c>
      <c r="R42" s="604">
        <f>'CADASTRO V-T e ISS'!M42</f>
        <v>0</v>
      </c>
      <c r="S42" s="604">
        <f>'CADASTRO V-T e ISS'!N42</f>
        <v>0</v>
      </c>
      <c r="T42" s="604">
        <f>'CADASTRO V-T e ISS'!O42</f>
        <v>0</v>
      </c>
      <c r="U42" s="608">
        <f t="shared" si="4"/>
        <v>16710.473461818183</v>
      </c>
      <c r="V42" s="608">
        <f t="shared" si="5"/>
        <v>334.20946923636365</v>
      </c>
      <c r="W42" s="608">
        <f t="shared" si="6"/>
        <v>17044.682931054547</v>
      </c>
      <c r="X42" s="608">
        <f t="shared" si="7"/>
        <v>409072.39034530916</v>
      </c>
    </row>
    <row r="43" spans="1:24">
      <c r="A43" s="604">
        <f>'CADASTRO V-T e ISS'!A43</f>
        <v>38</v>
      </c>
      <c r="B43" s="605" t="str">
        <f>'CADASTRO V-T e ISS'!B43</f>
        <v>Cariré</v>
      </c>
      <c r="C43" s="606">
        <f>IF('CADASTRO V-T e ISS'!C43="SIM",'CADASTRO V-T e ISS'!D43*'CADASTRO V-T e ISS'!E43*'CADASTRO V-T e ISS'!F43,0)</f>
        <v>0</v>
      </c>
      <c r="D43" s="607">
        <f>'CADASTRO V-T e ISS'!G43</f>
        <v>0</v>
      </c>
      <c r="E43" s="621">
        <f>(('VALOR POSTOS MÊS '!E40+('VALOR POSTOS MÊS '!E48+'VALOR POSTOS MÊS '!E62+(MAX(0,$C43-0.06*'VALOR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'!$D$149-$D43)</f>
        <v>8428.8640036363649</v>
      </c>
      <c r="F43" s="621">
        <f>(('VALOR POSTOS MÊS '!F40+('VALOR POSTOS MÊS '!F48+'VALOR POSTOS MÊS '!F62+(MAX(0,$C43-0.06*'VALOR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'!$D$149-$D43)</f>
        <v>8281.6094581818197</v>
      </c>
      <c r="G43" s="621">
        <f>(('VALOR POSTOS MÊS '!G40+('VALOR POSTOS MÊS '!G48+'VALOR POSTOS MÊS '!G62+(MAX(0,$C43-0.06*'VALOR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'!$D$149-$D43)</f>
        <v>10267.560367272728</v>
      </c>
      <c r="H43" s="621">
        <f>(('VALOR POSTOS MÊS '!H40+('VALOR POSTOS MÊS '!H48+'VALOR POSTOS MÊS '!H62+(MAX(0,$C43-0.06*'VALOR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'!$D$149-$D43)</f>
        <v>12184.771276363639</v>
      </c>
      <c r="I43" s="621">
        <f>(('VALOR POSTOS MÊS '!I40+('VALOR POSTOS MÊS '!I48+'VALOR POSTOS MÊS '!I62+(MAX(0,$C43-0.06*'VALOR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'!$D$149-$D43)</f>
        <v>15820.113094545455</v>
      </c>
      <c r="J43" s="621">
        <f>(('VALOR POSTOS MÊS '!J40+('VALOR POSTOS MÊS '!J48+'VALOR POSTOS MÊS '!J62+(MAX(0,$C43-0.06*'VALOR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'!$D$149-$D43)</f>
        <v>19964.125821818187</v>
      </c>
      <c r="K43" s="621">
        <f>(('VALOR POSTOS MÊS '!K40+('VALOR POSTOS MÊS '!K48+'VALOR POSTOS MÊS '!K62+(MAX(0,$C43-0.06*'VALOR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'!$D$149-$D43)</f>
        <v>10555.705821818183</v>
      </c>
      <c r="L43" s="621">
        <f>(('VALOR POSTOS MÊS '!L40+('VALOR POSTOS MÊS '!L48+'VALOR POSTOS MÊS '!L62+(MAX(0,$C43-0.06*'VALOR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'!$D$149-$D43)</f>
        <v>10285.696730909092</v>
      </c>
      <c r="M43" s="604">
        <f>'CADASTRO V-T e ISS'!H43</f>
        <v>1</v>
      </c>
      <c r="N43" s="604">
        <f>'CADASTRO V-T e ISS'!I43</f>
        <v>1</v>
      </c>
      <c r="O43" s="604">
        <f>'CADASTRO V-T e ISS'!J43</f>
        <v>0</v>
      </c>
      <c r="P43" s="604">
        <f>'CADASTRO V-T e ISS'!K43</f>
        <v>0</v>
      </c>
      <c r="Q43" s="604">
        <f>'CADASTRO V-T e ISS'!L43</f>
        <v>0</v>
      </c>
      <c r="R43" s="604">
        <f>'CADASTRO V-T e ISS'!M43</f>
        <v>0</v>
      </c>
      <c r="S43" s="604">
        <f>'CADASTRO V-T e ISS'!N43</f>
        <v>0</v>
      </c>
      <c r="T43" s="604">
        <f>'CADASTRO V-T e ISS'!O43</f>
        <v>0</v>
      </c>
      <c r="U43" s="608">
        <f t="shared" si="4"/>
        <v>16710.473461818183</v>
      </c>
      <c r="V43" s="608">
        <f t="shared" si="5"/>
        <v>334.20946923636365</v>
      </c>
      <c r="W43" s="608">
        <f t="shared" si="6"/>
        <v>17044.682931054547</v>
      </c>
      <c r="X43" s="608">
        <f t="shared" si="7"/>
        <v>409072.39034530916</v>
      </c>
    </row>
    <row r="44" spans="1:24">
      <c r="A44" s="604">
        <f>'CADASTRO V-T e ISS'!A44</f>
        <v>39</v>
      </c>
      <c r="B44" s="605" t="str">
        <f>'CADASTRO V-T e ISS'!B44</f>
        <v>Cariús</v>
      </c>
      <c r="C44" s="606">
        <f>IF('CADASTRO V-T e ISS'!C44="SIM",'CADASTRO V-T e ISS'!D44*'CADASTRO V-T e ISS'!E44*'CADASTRO V-T e ISS'!F44,0)</f>
        <v>0</v>
      </c>
      <c r="D44" s="607">
        <f>'CADASTRO V-T e ISS'!G44</f>
        <v>0</v>
      </c>
      <c r="E44" s="621">
        <f>(('VALOR POSTOS MÊS '!E40+('VALOR POSTOS MÊS '!E48+'VALOR POSTOS MÊS '!E62+(MAX(0,$C44-0.06*'VALOR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'!$D$149-$D44)</f>
        <v>8428.8640036363649</v>
      </c>
      <c r="F44" s="621">
        <f>(('VALOR POSTOS MÊS '!F40+('VALOR POSTOS MÊS '!F48+'VALOR POSTOS MÊS '!F62+(MAX(0,$C44-0.06*'VALOR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'!$D$149-$D44)</f>
        <v>8281.6094581818197</v>
      </c>
      <c r="G44" s="621">
        <f>(('VALOR POSTOS MÊS '!G40+('VALOR POSTOS MÊS '!G48+'VALOR POSTOS MÊS '!G62+(MAX(0,$C44-0.06*'VALOR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'!$D$149-$D44)</f>
        <v>10267.560367272728</v>
      </c>
      <c r="H44" s="621">
        <f>(('VALOR POSTOS MÊS '!H40+('VALOR POSTOS MÊS '!H48+'VALOR POSTOS MÊS '!H62+(MAX(0,$C44-0.06*'VALOR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'!$D$149-$D44)</f>
        <v>12184.771276363639</v>
      </c>
      <c r="I44" s="621">
        <f>(('VALOR POSTOS MÊS '!I40+('VALOR POSTOS MÊS '!I48+'VALOR POSTOS MÊS '!I62+(MAX(0,$C44-0.06*'VALOR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'!$D$149-$D44)</f>
        <v>15820.113094545455</v>
      </c>
      <c r="J44" s="621">
        <f>(('VALOR POSTOS MÊS '!J40+('VALOR POSTOS MÊS '!J48+'VALOR POSTOS MÊS '!J62+(MAX(0,$C44-0.06*'VALOR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'!$D$149-$D44)</f>
        <v>19964.125821818187</v>
      </c>
      <c r="K44" s="621">
        <f>(('VALOR POSTOS MÊS '!K40+('VALOR POSTOS MÊS '!K48+'VALOR POSTOS MÊS '!K62+(MAX(0,$C44-0.06*'VALOR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'!$D$149-$D44)</f>
        <v>10555.705821818183</v>
      </c>
      <c r="L44" s="621">
        <f>(('VALOR POSTOS MÊS '!L40+('VALOR POSTOS MÊS '!L48+'VALOR POSTOS MÊS '!L62+(MAX(0,$C44-0.06*'VALOR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'!$D$149-$D44)</f>
        <v>10285.696730909092</v>
      </c>
      <c r="M44" s="604">
        <f>'CADASTRO V-T e ISS'!H44</f>
        <v>0</v>
      </c>
      <c r="N44" s="604">
        <f>'CADASTRO V-T e ISS'!I44</f>
        <v>0</v>
      </c>
      <c r="O44" s="604">
        <f>'CADASTRO V-T e ISS'!J44</f>
        <v>0</v>
      </c>
      <c r="P44" s="604">
        <f>'CADASTRO V-T e ISS'!K44</f>
        <v>0</v>
      </c>
      <c r="Q44" s="604">
        <f>'CADASTRO V-T e ISS'!L44</f>
        <v>0</v>
      </c>
      <c r="R44" s="604">
        <f>'CADASTRO V-T e ISS'!M44</f>
        <v>0</v>
      </c>
      <c r="S44" s="604">
        <f>'CADASTRO V-T e ISS'!N44</f>
        <v>0</v>
      </c>
      <c r="T44" s="604">
        <f>'CADASTRO V-T e ISS'!O44</f>
        <v>0</v>
      </c>
      <c r="U44" s="608">
        <f t="shared" si="4"/>
        <v>0</v>
      </c>
      <c r="V44" s="608">
        <f t="shared" si="5"/>
        <v>0</v>
      </c>
      <c r="W44" s="608">
        <f t="shared" si="6"/>
        <v>0</v>
      </c>
      <c r="X44" s="608">
        <f t="shared" si="7"/>
        <v>0</v>
      </c>
    </row>
    <row r="45" spans="1:24">
      <c r="A45" s="604">
        <f>'CADASTRO V-T e ISS'!A45</f>
        <v>40</v>
      </c>
      <c r="B45" s="605" t="str">
        <f>'CADASTRO V-T e ISS'!B45</f>
        <v>Carnaubal</v>
      </c>
      <c r="C45" s="606">
        <f>IF('CADASTRO V-T e ISS'!C45="SIM",'CADASTRO V-T e ISS'!D45*'CADASTRO V-T e ISS'!E45*'CADASTRO V-T e ISS'!F45,0)</f>
        <v>0</v>
      </c>
      <c r="D45" s="607">
        <f>'CADASTRO V-T e ISS'!G45</f>
        <v>0</v>
      </c>
      <c r="E45" s="621">
        <f>(('VALOR POSTOS MÊS '!E40+('VALOR POSTOS MÊS '!E48+'VALOR POSTOS MÊS '!E62+(MAX(0,$C45-0.06*'VALOR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'!$D$149-$D45)</f>
        <v>8428.8640036363649</v>
      </c>
      <c r="F45" s="621">
        <f>(('VALOR POSTOS MÊS '!F40+('VALOR POSTOS MÊS '!F48+'VALOR POSTOS MÊS '!F62+(MAX(0,$C45-0.06*'VALOR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'!$D$149-$D45)</f>
        <v>8281.6094581818197</v>
      </c>
      <c r="G45" s="621">
        <f>(('VALOR POSTOS MÊS '!G40+('VALOR POSTOS MÊS '!G48+'VALOR POSTOS MÊS '!G62+(MAX(0,$C45-0.06*'VALOR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'!$D$149-$D45)</f>
        <v>10267.560367272728</v>
      </c>
      <c r="H45" s="621">
        <f>(('VALOR POSTOS MÊS '!H40+('VALOR POSTOS MÊS '!H48+'VALOR POSTOS MÊS '!H62+(MAX(0,$C45-0.06*'VALOR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'!$D$149-$D45)</f>
        <v>12184.771276363639</v>
      </c>
      <c r="I45" s="621">
        <f>(('VALOR POSTOS MÊS '!I40+('VALOR POSTOS MÊS '!I48+'VALOR POSTOS MÊS '!I62+(MAX(0,$C45-0.06*'VALOR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'!$D$149-$D45)</f>
        <v>15820.113094545455</v>
      </c>
      <c r="J45" s="621">
        <f>(('VALOR POSTOS MÊS '!J40+('VALOR POSTOS MÊS '!J48+'VALOR POSTOS MÊS '!J62+(MAX(0,$C45-0.06*'VALOR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'!$D$149-$D45)</f>
        <v>19964.125821818187</v>
      </c>
      <c r="K45" s="621">
        <f>(('VALOR POSTOS MÊS '!K40+('VALOR POSTOS MÊS '!K48+'VALOR POSTOS MÊS '!K62+(MAX(0,$C45-0.06*'VALOR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'!$D$149-$D45)</f>
        <v>10555.705821818183</v>
      </c>
      <c r="L45" s="621">
        <f>(('VALOR POSTOS MÊS '!L40+('VALOR POSTOS MÊS '!L48+'VALOR POSTOS MÊS '!L62+(MAX(0,$C45-0.06*'VALOR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'!$D$149-$D45)</f>
        <v>10285.696730909092</v>
      </c>
      <c r="M45" s="604">
        <f>'CADASTRO V-T e ISS'!H45</f>
        <v>0</v>
      </c>
      <c r="N45" s="604">
        <f>'CADASTRO V-T e ISS'!I45</f>
        <v>0</v>
      </c>
      <c r="O45" s="604">
        <f>'CADASTRO V-T e ISS'!J45</f>
        <v>0</v>
      </c>
      <c r="P45" s="604">
        <f>'CADASTRO V-T e ISS'!K45</f>
        <v>0</v>
      </c>
      <c r="Q45" s="604">
        <f>'CADASTRO V-T e ISS'!L45</f>
        <v>0</v>
      </c>
      <c r="R45" s="604">
        <f>'CADASTRO V-T e ISS'!M45</f>
        <v>0</v>
      </c>
      <c r="S45" s="604">
        <f>'CADASTRO V-T e ISS'!N45</f>
        <v>0</v>
      </c>
      <c r="T45" s="604">
        <f>'CADASTRO V-T e ISS'!O45</f>
        <v>0</v>
      </c>
      <c r="U45" s="608">
        <f t="shared" si="4"/>
        <v>0</v>
      </c>
      <c r="V45" s="608">
        <f t="shared" si="5"/>
        <v>0</v>
      </c>
      <c r="W45" s="608">
        <f t="shared" si="6"/>
        <v>0</v>
      </c>
      <c r="X45" s="608">
        <f t="shared" si="7"/>
        <v>0</v>
      </c>
    </row>
    <row r="46" spans="1:24">
      <c r="A46" s="604">
        <f>'CADASTRO V-T e ISS'!A46</f>
        <v>41</v>
      </c>
      <c r="B46" s="605" t="str">
        <f>'CADASTRO V-T e ISS'!B46</f>
        <v>Cascavel</v>
      </c>
      <c r="C46" s="606">
        <f>IF('CADASTRO V-T e ISS'!C46="SIM",'CADASTRO V-T e ISS'!D46*'CADASTRO V-T e ISS'!E46*'CADASTRO V-T e ISS'!F46,0)</f>
        <v>0</v>
      </c>
      <c r="D46" s="607">
        <f>'CADASTRO V-T e ISS'!G46</f>
        <v>0</v>
      </c>
      <c r="E46" s="621">
        <f>(('VALOR POSTOS MÊS '!E40+('VALOR POSTOS MÊS '!E48+'VALOR POSTOS MÊS '!E62+(MAX(0,$C46-0.06*'VALOR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'!$D$149-$D46)</f>
        <v>8428.8640036363649</v>
      </c>
      <c r="F46" s="621">
        <f>(('VALOR POSTOS MÊS '!F40+('VALOR POSTOS MÊS '!F48+'VALOR POSTOS MÊS '!F62+(MAX(0,$C46-0.06*'VALOR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'!$D$149-$D46)</f>
        <v>8281.6094581818197</v>
      </c>
      <c r="G46" s="621">
        <f>(('VALOR POSTOS MÊS '!G40+('VALOR POSTOS MÊS '!G48+'VALOR POSTOS MÊS '!G62+(MAX(0,$C46-0.06*'VALOR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'!$D$149-$D46)</f>
        <v>10267.560367272728</v>
      </c>
      <c r="H46" s="621">
        <f>(('VALOR POSTOS MÊS '!H40+('VALOR POSTOS MÊS '!H48+'VALOR POSTOS MÊS '!H62+(MAX(0,$C46-0.06*'VALOR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'!$D$149-$D46)</f>
        <v>12184.771276363639</v>
      </c>
      <c r="I46" s="621">
        <f>(('VALOR POSTOS MÊS '!I40+('VALOR POSTOS MÊS '!I48+'VALOR POSTOS MÊS '!I62+(MAX(0,$C46-0.06*'VALOR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'!$D$149-$D46)</f>
        <v>15820.113094545455</v>
      </c>
      <c r="J46" s="621">
        <f>(('VALOR POSTOS MÊS '!J40+('VALOR POSTOS MÊS '!J48+'VALOR POSTOS MÊS '!J62+(MAX(0,$C46-0.06*'VALOR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'!$D$149-$D46)</f>
        <v>19964.125821818187</v>
      </c>
      <c r="K46" s="621">
        <f>(('VALOR POSTOS MÊS '!K40+('VALOR POSTOS MÊS '!K48+'VALOR POSTOS MÊS '!K62+(MAX(0,$C46-0.06*'VALOR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'!$D$149-$D46)</f>
        <v>10555.705821818183</v>
      </c>
      <c r="L46" s="621">
        <f>(('VALOR POSTOS MÊS '!L40+('VALOR POSTOS MÊS '!L48+'VALOR POSTOS MÊS '!L62+(MAX(0,$C46-0.06*'VALOR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'!$D$149-$D46)</f>
        <v>10285.696730909092</v>
      </c>
      <c r="M46" s="604">
        <f>'CADASTRO V-T e ISS'!H46</f>
        <v>1</v>
      </c>
      <c r="N46" s="604">
        <f>'CADASTRO V-T e ISS'!I46</f>
        <v>2</v>
      </c>
      <c r="O46" s="604">
        <f>'CADASTRO V-T e ISS'!J46</f>
        <v>0</v>
      </c>
      <c r="P46" s="604">
        <f>'CADASTRO V-T e ISS'!K46</f>
        <v>0</v>
      </c>
      <c r="Q46" s="604">
        <f>'CADASTRO V-T e ISS'!L46</f>
        <v>0</v>
      </c>
      <c r="R46" s="604">
        <f>'CADASTRO V-T e ISS'!M46</f>
        <v>0</v>
      </c>
      <c r="S46" s="604">
        <f>'CADASTRO V-T e ISS'!N46</f>
        <v>0</v>
      </c>
      <c r="T46" s="604">
        <f>'CADASTRO V-T e ISS'!O46</f>
        <v>0</v>
      </c>
      <c r="U46" s="608">
        <f t="shared" si="4"/>
        <v>24992.082920000004</v>
      </c>
      <c r="V46" s="608">
        <f t="shared" si="5"/>
        <v>499.84165840000009</v>
      </c>
      <c r="W46" s="608">
        <f t="shared" si="6"/>
        <v>25491.924578400005</v>
      </c>
      <c r="X46" s="608">
        <f t="shared" si="7"/>
        <v>611806.18988160009</v>
      </c>
    </row>
    <row r="47" spans="1:24">
      <c r="A47" s="604">
        <f>'CADASTRO V-T e ISS'!A47</f>
        <v>42</v>
      </c>
      <c r="B47" s="605" t="str">
        <f>'CADASTRO V-T e ISS'!B47</f>
        <v>Catarina</v>
      </c>
      <c r="C47" s="606">
        <f>IF('CADASTRO V-T e ISS'!C47="SIM",'CADASTRO V-T e ISS'!D47*'CADASTRO V-T e ISS'!E47*'CADASTRO V-T e ISS'!F47,0)</f>
        <v>0</v>
      </c>
      <c r="D47" s="607">
        <f>'CADASTRO V-T e ISS'!G47</f>
        <v>0</v>
      </c>
      <c r="E47" s="621">
        <f>(('VALOR POSTOS MÊS '!E40+('VALOR POSTOS MÊS '!E48+'VALOR POSTOS MÊS '!E62+(MAX(0,$C47-0.06*'VALOR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'!$D$149-$D47)</f>
        <v>8428.8640036363649</v>
      </c>
      <c r="F47" s="621">
        <f>(('VALOR POSTOS MÊS '!F40+('VALOR POSTOS MÊS '!F48+'VALOR POSTOS MÊS '!F62+(MAX(0,$C47-0.06*'VALOR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'!$D$149-$D47)</f>
        <v>8281.6094581818197</v>
      </c>
      <c r="G47" s="621">
        <f>(('VALOR POSTOS MÊS '!G40+('VALOR POSTOS MÊS '!G48+'VALOR POSTOS MÊS '!G62+(MAX(0,$C47-0.06*'VALOR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'!$D$149-$D47)</f>
        <v>10267.560367272728</v>
      </c>
      <c r="H47" s="621">
        <f>(('VALOR POSTOS MÊS '!H40+('VALOR POSTOS MÊS '!H48+'VALOR POSTOS MÊS '!H62+(MAX(0,$C47-0.06*'VALOR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'!$D$149-$D47)</f>
        <v>12184.771276363639</v>
      </c>
      <c r="I47" s="621">
        <f>(('VALOR POSTOS MÊS '!I40+('VALOR POSTOS MÊS '!I48+'VALOR POSTOS MÊS '!I62+(MAX(0,$C47-0.06*'VALOR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'!$D$149-$D47)</f>
        <v>15820.113094545455</v>
      </c>
      <c r="J47" s="621">
        <f>(('VALOR POSTOS MÊS '!J40+('VALOR POSTOS MÊS '!J48+'VALOR POSTOS MÊS '!J62+(MAX(0,$C47-0.06*'VALOR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'!$D$149-$D47)</f>
        <v>19964.125821818187</v>
      </c>
      <c r="K47" s="621">
        <f>(('VALOR POSTOS MÊS '!K40+('VALOR POSTOS MÊS '!K48+'VALOR POSTOS MÊS '!K62+(MAX(0,$C47-0.06*'VALOR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'!$D$149-$D47)</f>
        <v>10555.705821818183</v>
      </c>
      <c r="L47" s="621">
        <f>(('VALOR POSTOS MÊS '!L40+('VALOR POSTOS MÊS '!L48+'VALOR POSTOS MÊS '!L62+(MAX(0,$C47-0.06*'VALOR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'!$D$149-$D47)</f>
        <v>10285.696730909092</v>
      </c>
      <c r="M47" s="604">
        <f>'CADASTRO V-T e ISS'!H47</f>
        <v>0</v>
      </c>
      <c r="N47" s="604">
        <f>'CADASTRO V-T e ISS'!I47</f>
        <v>0</v>
      </c>
      <c r="O47" s="604">
        <f>'CADASTRO V-T e ISS'!J47</f>
        <v>0</v>
      </c>
      <c r="P47" s="604">
        <f>'CADASTRO V-T e ISS'!K47</f>
        <v>0</v>
      </c>
      <c r="Q47" s="604">
        <f>'CADASTRO V-T e ISS'!L47</f>
        <v>0</v>
      </c>
      <c r="R47" s="604">
        <f>'CADASTRO V-T e ISS'!M47</f>
        <v>0</v>
      </c>
      <c r="S47" s="604">
        <f>'CADASTRO V-T e ISS'!N47</f>
        <v>0</v>
      </c>
      <c r="T47" s="604">
        <f>'CADASTRO V-T e ISS'!O47</f>
        <v>0</v>
      </c>
      <c r="U47" s="608">
        <f t="shared" si="4"/>
        <v>0</v>
      </c>
      <c r="V47" s="608">
        <f t="shared" si="5"/>
        <v>0</v>
      </c>
      <c r="W47" s="608">
        <f t="shared" si="6"/>
        <v>0</v>
      </c>
      <c r="X47" s="608">
        <f t="shared" si="7"/>
        <v>0</v>
      </c>
    </row>
    <row r="48" spans="1:24">
      <c r="A48" s="604">
        <f>'CADASTRO V-T e ISS'!A48</f>
        <v>43</v>
      </c>
      <c r="B48" s="605" t="str">
        <f>'CADASTRO V-T e ISS'!B48</f>
        <v>Catunda</v>
      </c>
      <c r="C48" s="606">
        <f>IF('CADASTRO V-T e ISS'!C48="SIM",'CADASTRO V-T e ISS'!D48*'CADASTRO V-T e ISS'!E48*'CADASTRO V-T e ISS'!F48,0)</f>
        <v>0</v>
      </c>
      <c r="D48" s="607">
        <f>'CADASTRO V-T e ISS'!G48</f>
        <v>0</v>
      </c>
      <c r="E48" s="621">
        <f>(('VALOR POSTOS MÊS '!E40+('VALOR POSTOS MÊS '!E48+'VALOR POSTOS MÊS '!E62+(MAX(0,$C48-0.06*'VALOR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'!$D$149-$D48)</f>
        <v>8428.8640036363649</v>
      </c>
      <c r="F48" s="621">
        <f>(('VALOR POSTOS MÊS '!F40+('VALOR POSTOS MÊS '!F48+'VALOR POSTOS MÊS '!F62+(MAX(0,$C48-0.06*'VALOR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'!$D$149-$D48)</f>
        <v>8281.6094581818197</v>
      </c>
      <c r="G48" s="621">
        <f>(('VALOR POSTOS MÊS '!G40+('VALOR POSTOS MÊS '!G48+'VALOR POSTOS MÊS '!G62+(MAX(0,$C48-0.06*'VALOR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'!$D$149-$D48)</f>
        <v>10267.560367272728</v>
      </c>
      <c r="H48" s="621">
        <f>(('VALOR POSTOS MÊS '!H40+('VALOR POSTOS MÊS '!H48+'VALOR POSTOS MÊS '!H62+(MAX(0,$C48-0.06*'VALOR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'!$D$149-$D48)</f>
        <v>12184.771276363639</v>
      </c>
      <c r="I48" s="621">
        <f>(('VALOR POSTOS MÊS '!I40+('VALOR POSTOS MÊS '!I48+'VALOR POSTOS MÊS '!I62+(MAX(0,$C48-0.06*'VALOR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'!$D$149-$D48)</f>
        <v>15820.113094545455</v>
      </c>
      <c r="J48" s="621">
        <f>(('VALOR POSTOS MÊS '!J40+('VALOR POSTOS MÊS '!J48+'VALOR POSTOS MÊS '!J62+(MAX(0,$C48-0.06*'VALOR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'!$D$149-$D48)</f>
        <v>19964.125821818187</v>
      </c>
      <c r="K48" s="621">
        <f>(('VALOR POSTOS MÊS '!K40+('VALOR POSTOS MÊS '!K48+'VALOR POSTOS MÊS '!K62+(MAX(0,$C48-0.06*'VALOR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'!$D$149-$D48)</f>
        <v>10555.705821818183</v>
      </c>
      <c r="L48" s="621">
        <f>(('VALOR POSTOS MÊS '!L40+('VALOR POSTOS MÊS '!L48+'VALOR POSTOS MÊS '!L62+(MAX(0,$C48-0.06*'VALOR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'!$D$149-$D48)</f>
        <v>10285.696730909092</v>
      </c>
      <c r="M48" s="604">
        <f>'CADASTRO V-T e ISS'!H48</f>
        <v>0</v>
      </c>
      <c r="N48" s="604">
        <f>'CADASTRO V-T e ISS'!I48</f>
        <v>0</v>
      </c>
      <c r="O48" s="604">
        <f>'CADASTRO V-T e ISS'!J48</f>
        <v>0</v>
      </c>
      <c r="P48" s="604">
        <f>'CADASTRO V-T e ISS'!K48</f>
        <v>0</v>
      </c>
      <c r="Q48" s="604">
        <f>'CADASTRO V-T e ISS'!L48</f>
        <v>0</v>
      </c>
      <c r="R48" s="604">
        <f>'CADASTRO V-T e ISS'!M48</f>
        <v>0</v>
      </c>
      <c r="S48" s="604">
        <f>'CADASTRO V-T e ISS'!N48</f>
        <v>0</v>
      </c>
      <c r="T48" s="604">
        <f>'CADASTRO V-T e ISS'!O48</f>
        <v>0</v>
      </c>
      <c r="U48" s="608">
        <f t="shared" si="4"/>
        <v>0</v>
      </c>
      <c r="V48" s="608">
        <f t="shared" si="5"/>
        <v>0</v>
      </c>
      <c r="W48" s="608">
        <f t="shared" si="6"/>
        <v>0</v>
      </c>
      <c r="X48" s="608">
        <f t="shared" si="7"/>
        <v>0</v>
      </c>
    </row>
    <row r="49" spans="1:24">
      <c r="A49" s="604">
        <f>'CADASTRO V-T e ISS'!A49</f>
        <v>44</v>
      </c>
      <c r="B49" s="605" t="str">
        <f>'CADASTRO V-T e ISS'!B49</f>
        <v>Caucaia</v>
      </c>
      <c r="C49" s="606">
        <f>IF('CADASTRO V-T e ISS'!C49="SIM",'CADASTRO V-T e ISS'!D49*'CADASTRO V-T e ISS'!E49*'CADASTRO V-T e ISS'!F49,0)</f>
        <v>0</v>
      </c>
      <c r="D49" s="607">
        <f>'CADASTRO V-T e ISS'!G49</f>
        <v>0</v>
      </c>
      <c r="E49" s="621">
        <f>(('VALOR POSTOS MÊS '!E40+('VALOR POSTOS MÊS '!E48+'VALOR POSTOS MÊS '!E62+(MAX(0,$C49-0.06*'VALOR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'!E62+(MAX(0,$C49-0.06*'VALOR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'!$D$149-$D49)</f>
        <v>8428.8640036363649</v>
      </c>
      <c r="F49" s="621">
        <f>(('VALOR POSTOS MÊS '!F40+('VALOR POSTOS MÊS '!F48+'VALOR POSTOS MÊS '!F62+(MAX(0,$C49-0.06*'VALOR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'!F62+(MAX(0,$C49-0.06*'VALOR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'!$D$149-$D49)</f>
        <v>8281.6094581818197</v>
      </c>
      <c r="G49" s="621">
        <f>(('VALOR POSTOS MÊS '!G40+('VALOR POSTOS MÊS '!G48+'VALOR POSTOS MÊS '!G62+(MAX(0,$C49-0.06*'VALOR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'!G62+(MAX(0,$C49-0.06*'VALOR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'!$D$149-$D49)</f>
        <v>10267.560367272728</v>
      </c>
      <c r="H49" s="621">
        <f>(('VALOR POSTOS MÊS '!H40+('VALOR POSTOS MÊS '!H48+'VALOR POSTOS MÊS '!H62+(MAX(0,$C49-0.06*'VALOR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'!H62+(MAX(0,$C49-0.06*'VALOR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'!$D$149-$D49)</f>
        <v>12184.771276363639</v>
      </c>
      <c r="I49" s="621">
        <f>(('VALOR POSTOS MÊS '!I40+('VALOR POSTOS MÊS '!I48+'VALOR POSTOS MÊS '!I62+(MAX(0,$C49-0.06*'VALOR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'!I62+(MAX(0,$C49-0.06*'VALOR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'!$D$149-$D49)</f>
        <v>15820.113094545455</v>
      </c>
      <c r="J49" s="621">
        <f>(('VALOR POSTOS MÊS '!J40+('VALOR POSTOS MÊS '!J48+'VALOR POSTOS MÊS '!J62+(MAX(0,$C49-0.06*'VALOR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'!J62+(MAX(0,$C49-0.06*'VALOR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'!$D$149-$D49)</f>
        <v>19964.125821818187</v>
      </c>
      <c r="K49" s="621">
        <f>(('VALOR POSTOS MÊS '!K40+('VALOR POSTOS MÊS '!K48+'VALOR POSTOS MÊS '!K62+(MAX(0,$C49-0.06*'VALOR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'!K62+(MAX(0,$C49-0.06*'VALOR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'!$D$149-$D49)</f>
        <v>10555.705821818183</v>
      </c>
      <c r="L49" s="621">
        <f>(('VALOR POSTOS MÊS '!L40+('VALOR POSTOS MÊS '!L48+'VALOR POSTOS MÊS '!L62+(MAX(0,$C49-0.06*'VALOR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'!L62+(MAX(0,$C49-0.06*'VALOR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'!$D$149-$D49)</f>
        <v>10285.696730909092</v>
      </c>
      <c r="M49" s="604">
        <f>'CADASTRO V-T e ISS'!H49</f>
        <v>5</v>
      </c>
      <c r="N49" s="604">
        <f>'CADASTRO V-T e ISS'!I49</f>
        <v>8</v>
      </c>
      <c r="O49" s="604">
        <f>'CADASTRO V-T e ISS'!J49</f>
        <v>1</v>
      </c>
      <c r="P49" s="604">
        <f>'CADASTRO V-T e ISS'!K49</f>
        <v>2</v>
      </c>
      <c r="Q49" s="604">
        <f>'CADASTRO V-T e ISS'!L49</f>
        <v>1</v>
      </c>
      <c r="R49" s="604">
        <f>'CADASTRO V-T e ISS'!M49</f>
        <v>0</v>
      </c>
      <c r="S49" s="604">
        <f>'CADASTRO V-T e ISS'!N49</f>
        <v>1</v>
      </c>
      <c r="T49" s="604">
        <f>'CADASTRO V-T e ISS'!O49</f>
        <v>0</v>
      </c>
      <c r="U49" s="608">
        <f t="shared" si="4"/>
        <v>169410.11752000003</v>
      </c>
      <c r="V49" s="608">
        <f t="shared" si="5"/>
        <v>3388.2023504000008</v>
      </c>
      <c r="W49" s="608">
        <f t="shared" si="6"/>
        <v>172798.31987040004</v>
      </c>
      <c r="X49" s="608">
        <f t="shared" si="7"/>
        <v>4147159.6768896012</v>
      </c>
    </row>
    <row r="50" spans="1:24">
      <c r="A50" s="604">
        <f>'CADASTRO V-T e ISS'!A50</f>
        <v>45</v>
      </c>
      <c r="B50" s="605" t="str">
        <f>'CADASTRO V-T e ISS'!B50</f>
        <v>Cedro</v>
      </c>
      <c r="C50" s="606">
        <f>IF('CADASTRO V-T e ISS'!C50="SIM",'CADASTRO V-T e ISS'!D50*'CADASTRO V-T e ISS'!E50*'CADASTRO V-T e ISS'!F50,0)</f>
        <v>0</v>
      </c>
      <c r="D50" s="607">
        <f>'CADASTRO V-T e ISS'!G50</f>
        <v>0</v>
      </c>
      <c r="E50" s="621">
        <f>(('VALOR POSTOS MÊS '!E40+('VALOR POSTOS MÊS '!E48+'VALOR POSTOS MÊS '!E62+(MAX(0,$C50-0.06*'VALOR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'!$D$149-$D50)</f>
        <v>8428.8640036363649</v>
      </c>
      <c r="F50" s="621">
        <f>(('VALOR POSTOS MÊS '!F40+('VALOR POSTOS MÊS '!F48+'VALOR POSTOS MÊS '!F62+(MAX(0,$C50-0.06*'VALOR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'!$D$149-$D50)</f>
        <v>8281.6094581818197</v>
      </c>
      <c r="G50" s="621">
        <f>(('VALOR POSTOS MÊS '!G40+('VALOR POSTOS MÊS '!G48+'VALOR POSTOS MÊS '!G62+(MAX(0,$C50-0.06*'VALOR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'!$D$149-$D50)</f>
        <v>10267.560367272728</v>
      </c>
      <c r="H50" s="621">
        <f>(('VALOR POSTOS MÊS '!H40+('VALOR POSTOS MÊS '!H48+'VALOR POSTOS MÊS '!H62+(MAX(0,$C50-0.06*'VALOR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'!$D$149-$D50)</f>
        <v>12184.771276363639</v>
      </c>
      <c r="I50" s="621">
        <f>(('VALOR POSTOS MÊS '!I40+('VALOR POSTOS MÊS '!I48+'VALOR POSTOS MÊS '!I62+(MAX(0,$C50-0.06*'VALOR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'!$D$149-$D50)</f>
        <v>15820.113094545455</v>
      </c>
      <c r="J50" s="621">
        <f>(('VALOR POSTOS MÊS '!J40+('VALOR POSTOS MÊS '!J48+'VALOR POSTOS MÊS '!J62+(MAX(0,$C50-0.06*'VALOR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'!$D$149-$D50)</f>
        <v>19964.125821818187</v>
      </c>
      <c r="K50" s="621">
        <f>(('VALOR POSTOS MÊS '!K40+('VALOR POSTOS MÊS '!K48+'VALOR POSTOS MÊS '!K62+(MAX(0,$C50-0.06*'VALOR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'!$D$149-$D50)</f>
        <v>10555.705821818183</v>
      </c>
      <c r="L50" s="621">
        <f>(('VALOR POSTOS MÊS '!L40+('VALOR POSTOS MÊS '!L48+'VALOR POSTOS MÊS '!L62+(MAX(0,$C50-0.06*'VALOR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'!$D$149-$D50)</f>
        <v>10285.696730909092</v>
      </c>
      <c r="M50" s="604">
        <f>'CADASTRO V-T e ISS'!H50</f>
        <v>1</v>
      </c>
      <c r="N50" s="604">
        <f>'CADASTRO V-T e ISS'!I50</f>
        <v>2</v>
      </c>
      <c r="O50" s="604">
        <f>'CADASTRO V-T e ISS'!J50</f>
        <v>0</v>
      </c>
      <c r="P50" s="604">
        <f>'CADASTRO V-T e ISS'!K50</f>
        <v>0</v>
      </c>
      <c r="Q50" s="604">
        <f>'CADASTRO V-T e ISS'!L50</f>
        <v>0</v>
      </c>
      <c r="R50" s="604">
        <f>'CADASTRO V-T e ISS'!M50</f>
        <v>0</v>
      </c>
      <c r="S50" s="604">
        <f>'CADASTRO V-T e ISS'!N50</f>
        <v>0</v>
      </c>
      <c r="T50" s="604">
        <f>'CADASTRO V-T e ISS'!O50</f>
        <v>0</v>
      </c>
      <c r="U50" s="608">
        <f t="shared" si="4"/>
        <v>24992.082920000004</v>
      </c>
      <c r="V50" s="608">
        <f t="shared" si="5"/>
        <v>499.84165840000009</v>
      </c>
      <c r="W50" s="608">
        <f t="shared" si="6"/>
        <v>25491.924578400005</v>
      </c>
      <c r="X50" s="608">
        <f t="shared" si="7"/>
        <v>611806.18988160009</v>
      </c>
    </row>
    <row r="51" spans="1:24">
      <c r="A51" s="604">
        <f>'CADASTRO V-T e ISS'!A51</f>
        <v>46</v>
      </c>
      <c r="B51" s="605" t="str">
        <f>'CADASTRO V-T e ISS'!B51</f>
        <v>Chaval</v>
      </c>
      <c r="C51" s="606">
        <f>IF('CADASTRO V-T e ISS'!C51="SIM",'CADASTRO V-T e ISS'!D51*'CADASTRO V-T e ISS'!E51*'CADASTRO V-T e ISS'!F51,0)</f>
        <v>0</v>
      </c>
      <c r="D51" s="607">
        <f>'CADASTRO V-T e ISS'!G51</f>
        <v>0</v>
      </c>
      <c r="E51" s="621">
        <f>(('VALOR POSTOS MÊS '!E40+('VALOR POSTOS MÊS '!E48+'VALOR POSTOS MÊS '!E62+(MAX(0,$C51-0.06*'VALOR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'!$D$149-$D51)</f>
        <v>8428.8640036363649</v>
      </c>
      <c r="F51" s="621">
        <f>(('VALOR POSTOS MÊS '!F40+('VALOR POSTOS MÊS '!F48+'VALOR POSTOS MÊS '!F62+(MAX(0,$C51-0.06*'VALOR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'!$D$149-$D51)</f>
        <v>8281.6094581818197</v>
      </c>
      <c r="G51" s="621">
        <f>(('VALOR POSTOS MÊS '!G40+('VALOR POSTOS MÊS '!G48+'VALOR POSTOS MÊS '!G62+(MAX(0,$C51-0.06*'VALOR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'!$D$149-$D51)</f>
        <v>10267.560367272728</v>
      </c>
      <c r="H51" s="621">
        <f>(('VALOR POSTOS MÊS '!H40+('VALOR POSTOS MÊS '!H48+'VALOR POSTOS MÊS '!H62+(MAX(0,$C51-0.06*'VALOR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'!$D$149-$D51)</f>
        <v>12184.771276363639</v>
      </c>
      <c r="I51" s="621">
        <f>(('VALOR POSTOS MÊS '!I40+('VALOR POSTOS MÊS '!I48+'VALOR POSTOS MÊS '!I62+(MAX(0,$C51-0.06*'VALOR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'!$D$149-$D51)</f>
        <v>15820.113094545455</v>
      </c>
      <c r="J51" s="621">
        <f>(('VALOR POSTOS MÊS '!J40+('VALOR POSTOS MÊS '!J48+'VALOR POSTOS MÊS '!J62+(MAX(0,$C51-0.06*'VALOR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'!$D$149-$D51)</f>
        <v>19964.125821818187</v>
      </c>
      <c r="K51" s="621">
        <f>(('VALOR POSTOS MÊS '!K40+('VALOR POSTOS MÊS '!K48+'VALOR POSTOS MÊS '!K62+(MAX(0,$C51-0.06*'VALOR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'!$D$149-$D51)</f>
        <v>10555.705821818183</v>
      </c>
      <c r="L51" s="621">
        <f>(('VALOR POSTOS MÊS '!L40+('VALOR POSTOS MÊS '!L48+'VALOR POSTOS MÊS '!L62+(MAX(0,$C51-0.06*'VALOR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'!$D$149-$D51)</f>
        <v>10285.696730909092</v>
      </c>
      <c r="M51" s="604">
        <f>'CADASTRO V-T e ISS'!H51</f>
        <v>1</v>
      </c>
      <c r="N51" s="604">
        <f>'CADASTRO V-T e ISS'!I51</f>
        <v>1</v>
      </c>
      <c r="O51" s="604">
        <f>'CADASTRO V-T e ISS'!J51</f>
        <v>0</v>
      </c>
      <c r="P51" s="604">
        <f>'CADASTRO V-T e ISS'!K51</f>
        <v>0</v>
      </c>
      <c r="Q51" s="604">
        <f>'CADASTRO V-T e ISS'!L51</f>
        <v>0</v>
      </c>
      <c r="R51" s="604">
        <f>'CADASTRO V-T e ISS'!M51</f>
        <v>0</v>
      </c>
      <c r="S51" s="604">
        <f>'CADASTRO V-T e ISS'!N51</f>
        <v>0</v>
      </c>
      <c r="T51" s="604">
        <f>'CADASTRO V-T e ISS'!O51</f>
        <v>0</v>
      </c>
      <c r="U51" s="608">
        <f t="shared" si="4"/>
        <v>16710.473461818183</v>
      </c>
      <c r="V51" s="608">
        <f t="shared" si="5"/>
        <v>334.20946923636365</v>
      </c>
      <c r="W51" s="608">
        <f t="shared" si="6"/>
        <v>17044.682931054547</v>
      </c>
      <c r="X51" s="608">
        <f t="shared" si="7"/>
        <v>409072.39034530916</v>
      </c>
    </row>
    <row r="52" spans="1:24">
      <c r="A52" s="604">
        <f>'CADASTRO V-T e ISS'!A52</f>
        <v>47</v>
      </c>
      <c r="B52" s="605" t="str">
        <f>'CADASTRO V-T e ISS'!B52</f>
        <v>Chorozinho</v>
      </c>
      <c r="C52" s="606">
        <f>IF('CADASTRO V-T e ISS'!C52="SIM",'CADASTRO V-T e ISS'!D52*'CADASTRO V-T e ISS'!E52*'CADASTRO V-T e ISS'!F52,0)</f>
        <v>0</v>
      </c>
      <c r="D52" s="607">
        <f>'CADASTRO V-T e ISS'!G52</f>
        <v>0</v>
      </c>
      <c r="E52" s="621">
        <f>(('VALOR POSTOS MÊS '!E40+('VALOR POSTOS MÊS '!E48+'VALOR POSTOS MÊS '!E62+(MAX(0,$C52-0.06*'VALOR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'!$D$149-$D52)</f>
        <v>8428.8640036363649</v>
      </c>
      <c r="F52" s="621">
        <f>(('VALOR POSTOS MÊS '!F40+('VALOR POSTOS MÊS '!F48+'VALOR POSTOS MÊS '!F62+(MAX(0,$C52-0.06*'VALOR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'!$D$149-$D52)</f>
        <v>8281.6094581818197</v>
      </c>
      <c r="G52" s="621">
        <f>(('VALOR POSTOS MÊS '!G40+('VALOR POSTOS MÊS '!G48+'VALOR POSTOS MÊS '!G62+(MAX(0,$C52-0.06*'VALOR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'!$D$149-$D52)</f>
        <v>10267.560367272728</v>
      </c>
      <c r="H52" s="621">
        <f>(('VALOR POSTOS MÊS '!H40+('VALOR POSTOS MÊS '!H48+'VALOR POSTOS MÊS '!H62+(MAX(0,$C52-0.06*'VALOR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'!$D$149-$D52)</f>
        <v>12184.771276363639</v>
      </c>
      <c r="I52" s="621">
        <f>(('VALOR POSTOS MÊS '!I40+('VALOR POSTOS MÊS '!I48+'VALOR POSTOS MÊS '!I62+(MAX(0,$C52-0.06*'VALOR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'!$D$149-$D52)</f>
        <v>15820.113094545455</v>
      </c>
      <c r="J52" s="621">
        <f>(('VALOR POSTOS MÊS '!J40+('VALOR POSTOS MÊS '!J48+'VALOR POSTOS MÊS '!J62+(MAX(0,$C52-0.06*'VALOR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'!$D$149-$D52)</f>
        <v>19964.125821818187</v>
      </c>
      <c r="K52" s="621">
        <f>(('VALOR POSTOS MÊS '!K40+('VALOR POSTOS MÊS '!K48+'VALOR POSTOS MÊS '!K62+(MAX(0,$C52-0.06*'VALOR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'!$D$149-$D52)</f>
        <v>10555.705821818183</v>
      </c>
      <c r="L52" s="621">
        <f>(('VALOR POSTOS MÊS '!L40+('VALOR POSTOS MÊS '!L48+'VALOR POSTOS MÊS '!L62+(MAX(0,$C52-0.06*'VALOR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'!$D$149-$D52)</f>
        <v>10285.696730909092</v>
      </c>
      <c r="M52" s="604">
        <f>'CADASTRO V-T e ISS'!H52</f>
        <v>0</v>
      </c>
      <c r="N52" s="604">
        <f>'CADASTRO V-T e ISS'!I52</f>
        <v>0</v>
      </c>
      <c r="O52" s="604">
        <f>'CADASTRO V-T e ISS'!J52</f>
        <v>0</v>
      </c>
      <c r="P52" s="604">
        <f>'CADASTRO V-T e ISS'!K52</f>
        <v>0</v>
      </c>
      <c r="Q52" s="604">
        <f>'CADASTRO V-T e ISS'!L52</f>
        <v>0</v>
      </c>
      <c r="R52" s="604">
        <f>'CADASTRO V-T e ISS'!M52</f>
        <v>0</v>
      </c>
      <c r="S52" s="604">
        <f>'CADASTRO V-T e ISS'!N52</f>
        <v>0</v>
      </c>
      <c r="T52" s="604">
        <f>'CADASTRO V-T e ISS'!O52</f>
        <v>0</v>
      </c>
      <c r="U52" s="608">
        <f t="shared" si="4"/>
        <v>0</v>
      </c>
      <c r="V52" s="608">
        <f t="shared" si="5"/>
        <v>0</v>
      </c>
      <c r="W52" s="608">
        <f t="shared" si="6"/>
        <v>0</v>
      </c>
      <c r="X52" s="608">
        <f t="shared" si="7"/>
        <v>0</v>
      </c>
    </row>
    <row r="53" spans="1:24">
      <c r="A53" s="604">
        <f>'CADASTRO V-T e ISS'!A53</f>
        <v>48</v>
      </c>
      <c r="B53" s="605" t="str">
        <f>'CADASTRO V-T e ISS'!B53</f>
        <v>Choró</v>
      </c>
      <c r="C53" s="606">
        <f>IF('CADASTRO V-T e ISS'!C53="SIM",'CADASTRO V-T e ISS'!D53*'CADASTRO V-T e ISS'!E53*'CADASTRO V-T e ISS'!F53,0)</f>
        <v>0</v>
      </c>
      <c r="D53" s="607">
        <f>'CADASTRO V-T e ISS'!G53</f>
        <v>0</v>
      </c>
      <c r="E53" s="621">
        <f>(('VALOR POSTOS MÊS '!E40+('VALOR POSTOS MÊS '!E48+'VALOR POSTOS MÊS '!E62+(MAX(0,$C53-0.06*'VALOR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'!$D$149-$D53)</f>
        <v>8428.8640036363649</v>
      </c>
      <c r="F53" s="621">
        <f>(('VALOR POSTOS MÊS '!F40+('VALOR POSTOS MÊS '!F48+'VALOR POSTOS MÊS '!F62+(MAX(0,$C53-0.06*'VALOR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'!$D$149-$D53)</f>
        <v>8281.6094581818197</v>
      </c>
      <c r="G53" s="621">
        <f>(('VALOR POSTOS MÊS '!G40+('VALOR POSTOS MÊS '!G48+'VALOR POSTOS MÊS '!G62+(MAX(0,$C53-0.06*'VALOR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'!$D$149-$D53)</f>
        <v>10267.560367272728</v>
      </c>
      <c r="H53" s="621">
        <f>(('VALOR POSTOS MÊS '!H40+('VALOR POSTOS MÊS '!H48+'VALOR POSTOS MÊS '!H62+(MAX(0,$C53-0.06*'VALOR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'!$D$149-$D53)</f>
        <v>12184.771276363639</v>
      </c>
      <c r="I53" s="621">
        <f>(('VALOR POSTOS MÊS '!I40+('VALOR POSTOS MÊS '!I48+'VALOR POSTOS MÊS '!I62+(MAX(0,$C53-0.06*'VALOR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'!$D$149-$D53)</f>
        <v>15820.113094545455</v>
      </c>
      <c r="J53" s="621">
        <f>(('VALOR POSTOS MÊS '!J40+('VALOR POSTOS MÊS '!J48+'VALOR POSTOS MÊS '!J62+(MAX(0,$C53-0.06*'VALOR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'!$D$149-$D53)</f>
        <v>19964.125821818187</v>
      </c>
      <c r="K53" s="621">
        <f>(('VALOR POSTOS MÊS '!K40+('VALOR POSTOS MÊS '!K48+'VALOR POSTOS MÊS '!K62+(MAX(0,$C53-0.06*'VALOR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'!$D$149-$D53)</f>
        <v>10555.705821818183</v>
      </c>
      <c r="L53" s="621">
        <f>(('VALOR POSTOS MÊS '!L40+('VALOR POSTOS MÊS '!L48+'VALOR POSTOS MÊS '!L62+(MAX(0,$C53-0.06*'VALOR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'!$D$149-$D53)</f>
        <v>10285.696730909092</v>
      </c>
      <c r="M53" s="604">
        <f>'CADASTRO V-T e ISS'!H53</f>
        <v>0</v>
      </c>
      <c r="N53" s="604">
        <f>'CADASTRO V-T e ISS'!I53</f>
        <v>0</v>
      </c>
      <c r="O53" s="604">
        <f>'CADASTRO V-T e ISS'!J53</f>
        <v>0</v>
      </c>
      <c r="P53" s="604">
        <f>'CADASTRO V-T e ISS'!K53</f>
        <v>0</v>
      </c>
      <c r="Q53" s="604">
        <f>'CADASTRO V-T e ISS'!L53</f>
        <v>0</v>
      </c>
      <c r="R53" s="604">
        <f>'CADASTRO V-T e ISS'!M53</f>
        <v>0</v>
      </c>
      <c r="S53" s="604">
        <f>'CADASTRO V-T e ISS'!N53</f>
        <v>0</v>
      </c>
      <c r="T53" s="604">
        <f>'CADASTRO V-T e ISS'!O53</f>
        <v>0</v>
      </c>
      <c r="U53" s="608">
        <f t="shared" si="4"/>
        <v>0</v>
      </c>
      <c r="V53" s="608">
        <f t="shared" si="5"/>
        <v>0</v>
      </c>
      <c r="W53" s="608">
        <f t="shared" si="6"/>
        <v>0</v>
      </c>
      <c r="X53" s="608">
        <f t="shared" si="7"/>
        <v>0</v>
      </c>
    </row>
    <row r="54" spans="1:24">
      <c r="A54" s="604">
        <f>'CADASTRO V-T e ISS'!A54</f>
        <v>49</v>
      </c>
      <c r="B54" s="605" t="str">
        <f>'CADASTRO V-T e ISS'!B54</f>
        <v>Coreaú</v>
      </c>
      <c r="C54" s="606">
        <f>IF('CADASTRO V-T e ISS'!C54="SIM",'CADASTRO V-T e ISS'!D54*'CADASTRO V-T e ISS'!E54*'CADASTRO V-T e ISS'!F54,0)</f>
        <v>0</v>
      </c>
      <c r="D54" s="607">
        <f>'CADASTRO V-T e ISS'!G54</f>
        <v>0</v>
      </c>
      <c r="E54" s="621">
        <f>(('VALOR POSTOS MÊS '!E40+('VALOR POSTOS MÊS '!E48+'VALOR POSTOS MÊS '!E62+(MAX(0,$C54-0.06*'VALOR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'!$D$149-$D54)</f>
        <v>8428.8640036363649</v>
      </c>
      <c r="F54" s="621">
        <f>(('VALOR POSTOS MÊS '!F40+('VALOR POSTOS MÊS '!F48+'VALOR POSTOS MÊS '!F62+(MAX(0,$C54-0.06*'VALOR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'!$D$149-$D54)</f>
        <v>8281.6094581818197</v>
      </c>
      <c r="G54" s="621">
        <f>(('VALOR POSTOS MÊS '!G40+('VALOR POSTOS MÊS '!G48+'VALOR POSTOS MÊS '!G62+(MAX(0,$C54-0.06*'VALOR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'!$D$149-$D54)</f>
        <v>10267.560367272728</v>
      </c>
      <c r="H54" s="621">
        <f>(('VALOR POSTOS MÊS '!H40+('VALOR POSTOS MÊS '!H48+'VALOR POSTOS MÊS '!H62+(MAX(0,$C54-0.06*'VALOR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'!$D$149-$D54)</f>
        <v>12184.771276363639</v>
      </c>
      <c r="I54" s="621">
        <f>(('VALOR POSTOS MÊS '!I40+('VALOR POSTOS MÊS '!I48+'VALOR POSTOS MÊS '!I62+(MAX(0,$C54-0.06*'VALOR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'!$D$149-$D54)</f>
        <v>15820.113094545455</v>
      </c>
      <c r="J54" s="621">
        <f>(('VALOR POSTOS MÊS '!J40+('VALOR POSTOS MÊS '!J48+'VALOR POSTOS MÊS '!J62+(MAX(0,$C54-0.06*'VALOR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'!$D$149-$D54)</f>
        <v>19964.125821818187</v>
      </c>
      <c r="K54" s="621">
        <f>(('VALOR POSTOS MÊS '!K40+('VALOR POSTOS MÊS '!K48+'VALOR POSTOS MÊS '!K62+(MAX(0,$C54-0.06*'VALOR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'!$D$149-$D54)</f>
        <v>10555.705821818183</v>
      </c>
      <c r="L54" s="621">
        <f>(('VALOR POSTOS MÊS '!L40+('VALOR POSTOS MÊS '!L48+'VALOR POSTOS MÊS '!L62+(MAX(0,$C54-0.06*'VALOR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'!$D$149-$D54)</f>
        <v>10285.696730909092</v>
      </c>
      <c r="M54" s="604">
        <f>'CADASTRO V-T e ISS'!H54</f>
        <v>1</v>
      </c>
      <c r="N54" s="604">
        <f>'CADASTRO V-T e ISS'!I54</f>
        <v>1</v>
      </c>
      <c r="O54" s="604">
        <f>'CADASTRO V-T e ISS'!J54</f>
        <v>0</v>
      </c>
      <c r="P54" s="604">
        <f>'CADASTRO V-T e ISS'!K54</f>
        <v>0</v>
      </c>
      <c r="Q54" s="604">
        <f>'CADASTRO V-T e ISS'!L54</f>
        <v>0</v>
      </c>
      <c r="R54" s="604">
        <f>'CADASTRO V-T e ISS'!M54</f>
        <v>0</v>
      </c>
      <c r="S54" s="604">
        <f>'CADASTRO V-T e ISS'!N54</f>
        <v>0</v>
      </c>
      <c r="T54" s="604">
        <f>'CADASTRO V-T e ISS'!O54</f>
        <v>0</v>
      </c>
      <c r="U54" s="608">
        <f t="shared" si="4"/>
        <v>16710.473461818183</v>
      </c>
      <c r="V54" s="608">
        <f t="shared" si="5"/>
        <v>334.20946923636365</v>
      </c>
      <c r="W54" s="608">
        <f t="shared" si="6"/>
        <v>17044.682931054547</v>
      </c>
      <c r="X54" s="608">
        <f t="shared" si="7"/>
        <v>409072.39034530916</v>
      </c>
    </row>
    <row r="55" spans="1:24">
      <c r="A55" s="604">
        <f>'CADASTRO V-T e ISS'!A55</f>
        <v>50</v>
      </c>
      <c r="B55" s="605" t="str">
        <f>'CADASTRO V-T e ISS'!B55</f>
        <v>Crateús</v>
      </c>
      <c r="C55" s="606">
        <f>IF('CADASTRO V-T e ISS'!C55="SIM",'CADASTRO V-T e ISS'!D55*'CADASTRO V-T e ISS'!E55*'CADASTRO V-T e ISS'!F55,0)</f>
        <v>0</v>
      </c>
      <c r="D55" s="607">
        <f>'CADASTRO V-T e ISS'!G55</f>
        <v>0</v>
      </c>
      <c r="E55" s="621">
        <f>(('VALOR POSTOS MÊS '!E40+('VALOR POSTOS MÊS '!E48+'VALOR POSTOS MÊS '!E62+(MAX(0,$C55-0.06*'VALOR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'!$D$149-$D55)</f>
        <v>8428.8640036363649</v>
      </c>
      <c r="F55" s="621">
        <f>(('VALOR POSTOS MÊS '!F40+('VALOR POSTOS MÊS '!F48+'VALOR POSTOS MÊS '!F62+(MAX(0,$C55-0.06*'VALOR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'!$D$149-$D55)</f>
        <v>8281.6094581818197</v>
      </c>
      <c r="G55" s="621">
        <f>(('VALOR POSTOS MÊS '!G40+('VALOR POSTOS MÊS '!G48+'VALOR POSTOS MÊS '!G62+(MAX(0,$C55-0.06*'VALOR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'!$D$149-$D55)</f>
        <v>10267.560367272728</v>
      </c>
      <c r="H55" s="621">
        <f>(('VALOR POSTOS MÊS '!H40+('VALOR POSTOS MÊS '!H48+'VALOR POSTOS MÊS '!H62+(MAX(0,$C55-0.06*'VALOR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'!$D$149-$D55)</f>
        <v>12184.771276363639</v>
      </c>
      <c r="I55" s="621">
        <f>(('VALOR POSTOS MÊS '!I40+('VALOR POSTOS MÊS '!I48+'VALOR POSTOS MÊS '!I62+(MAX(0,$C55-0.06*'VALOR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'!$D$149-$D55)</f>
        <v>15820.113094545455</v>
      </c>
      <c r="J55" s="621">
        <f>(('VALOR POSTOS MÊS '!J40+('VALOR POSTOS MÊS '!J48+'VALOR POSTOS MÊS '!J62+(MAX(0,$C55-0.06*'VALOR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'!$D$149-$D55)</f>
        <v>19964.125821818187</v>
      </c>
      <c r="K55" s="621">
        <f>(('VALOR POSTOS MÊS '!K40+('VALOR POSTOS MÊS '!K48+'VALOR POSTOS MÊS '!K62+(MAX(0,$C55-0.06*'VALOR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'!$D$149-$D55)</f>
        <v>10555.705821818183</v>
      </c>
      <c r="L55" s="621">
        <f>(('VALOR POSTOS MÊS '!L40+('VALOR POSTOS MÊS '!L48+'VALOR POSTOS MÊS '!L62+(MAX(0,$C55-0.06*'VALOR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'!$D$149-$D55)</f>
        <v>10285.696730909092</v>
      </c>
      <c r="M55" s="604">
        <f>'CADASTRO V-T e ISS'!H55</f>
        <v>4</v>
      </c>
      <c r="N55" s="604">
        <f>'CADASTRO V-T e ISS'!I55</f>
        <v>3</v>
      </c>
      <c r="O55" s="604">
        <f>'CADASTRO V-T e ISS'!J55</f>
        <v>0</v>
      </c>
      <c r="P55" s="604">
        <f>'CADASTRO V-T e ISS'!K55</f>
        <v>0</v>
      </c>
      <c r="Q55" s="604">
        <f>'CADASTRO V-T e ISS'!L55</f>
        <v>0</v>
      </c>
      <c r="R55" s="604">
        <f>'CADASTRO V-T e ISS'!M55</f>
        <v>0</v>
      </c>
      <c r="S55" s="604">
        <f>'CADASTRO V-T e ISS'!N55</f>
        <v>0</v>
      </c>
      <c r="T55" s="604">
        <f>'CADASTRO V-T e ISS'!O55</f>
        <v>0</v>
      </c>
      <c r="U55" s="608">
        <f t="shared" si="4"/>
        <v>58560.284389090921</v>
      </c>
      <c r="V55" s="608">
        <f t="shared" si="5"/>
        <v>1171.2056877818184</v>
      </c>
      <c r="W55" s="608">
        <f t="shared" si="6"/>
        <v>59731.490076872738</v>
      </c>
      <c r="X55" s="608">
        <f t="shared" si="7"/>
        <v>1433555.7618449456</v>
      </c>
    </row>
    <row r="56" spans="1:24">
      <c r="A56" s="604">
        <f>'CADASTRO V-T e ISS'!A56</f>
        <v>51</v>
      </c>
      <c r="B56" s="605" t="str">
        <f>'CADASTRO V-T e ISS'!B56</f>
        <v>Crato</v>
      </c>
      <c r="C56" s="606">
        <f>IF('CADASTRO V-T e ISS'!C56="SIM",'CADASTRO V-T e ISS'!D56*'CADASTRO V-T e ISS'!E56*'CADASTRO V-T e ISS'!F56,0)</f>
        <v>0</v>
      </c>
      <c r="D56" s="607">
        <f>'CADASTRO V-T e ISS'!G56</f>
        <v>0</v>
      </c>
      <c r="E56" s="621">
        <f>(('VALOR POSTOS MÊS '!E40+('VALOR POSTOS MÊS '!E48+'VALOR POSTOS MÊS '!E62+(MAX(0,$C56-0.06*'VALOR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'!$D$149-$D56)</f>
        <v>8428.8640036363649</v>
      </c>
      <c r="F56" s="621">
        <f>(('VALOR POSTOS MÊS '!F40+('VALOR POSTOS MÊS '!F48+'VALOR POSTOS MÊS '!F62+(MAX(0,$C56-0.06*'VALOR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'!$D$149-$D56)</f>
        <v>8281.6094581818197</v>
      </c>
      <c r="G56" s="621">
        <f>(('VALOR POSTOS MÊS '!G40+('VALOR POSTOS MÊS '!G48+'VALOR POSTOS MÊS '!G62+(MAX(0,$C56-0.06*'VALOR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'!$D$149-$D56)</f>
        <v>10267.560367272728</v>
      </c>
      <c r="H56" s="621">
        <f>(('VALOR POSTOS MÊS '!H40+('VALOR POSTOS MÊS '!H48+'VALOR POSTOS MÊS '!H62+(MAX(0,$C56-0.06*'VALOR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'!$D$149-$D56)</f>
        <v>12184.771276363639</v>
      </c>
      <c r="I56" s="621">
        <f>(('VALOR POSTOS MÊS '!I40+('VALOR POSTOS MÊS '!I48+'VALOR POSTOS MÊS '!I62+(MAX(0,$C56-0.06*'VALOR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'!$D$149-$D56)</f>
        <v>15820.113094545455</v>
      </c>
      <c r="J56" s="621">
        <f>(('VALOR POSTOS MÊS '!J40+('VALOR POSTOS MÊS '!J48+'VALOR POSTOS MÊS '!J62+(MAX(0,$C56-0.06*'VALOR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'!$D$149-$D56)</f>
        <v>19964.125821818187</v>
      </c>
      <c r="K56" s="621">
        <f>(('VALOR POSTOS MÊS '!K40+('VALOR POSTOS MÊS '!K48+'VALOR POSTOS MÊS '!K62+(MAX(0,$C56-0.06*'VALOR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'!$D$149-$D56)</f>
        <v>10555.705821818183</v>
      </c>
      <c r="L56" s="621">
        <f>(('VALOR POSTOS MÊS '!L40+('VALOR POSTOS MÊS '!L48+'VALOR POSTOS MÊS '!L62+(MAX(0,$C56-0.06*'VALOR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'!$D$149-$D56)</f>
        <v>10285.696730909092</v>
      </c>
      <c r="M56" s="604">
        <f>'CADASTRO V-T e ISS'!H56</f>
        <v>2</v>
      </c>
      <c r="N56" s="604">
        <f>'CADASTRO V-T e ISS'!I56</f>
        <v>5</v>
      </c>
      <c r="O56" s="604">
        <f>'CADASTRO V-T e ISS'!J56</f>
        <v>0</v>
      </c>
      <c r="P56" s="604">
        <f>'CADASTRO V-T e ISS'!K56</f>
        <v>0</v>
      </c>
      <c r="Q56" s="604">
        <f>'CADASTRO V-T e ISS'!L56</f>
        <v>0</v>
      </c>
      <c r="R56" s="604">
        <f>'CADASTRO V-T e ISS'!M56</f>
        <v>0</v>
      </c>
      <c r="S56" s="604">
        <f>'CADASTRO V-T e ISS'!N56</f>
        <v>0</v>
      </c>
      <c r="T56" s="604">
        <f>'CADASTRO V-T e ISS'!O56</f>
        <v>0</v>
      </c>
      <c r="U56" s="608">
        <f t="shared" si="4"/>
        <v>58265.775298181827</v>
      </c>
      <c r="V56" s="608">
        <f t="shared" si="5"/>
        <v>1165.3155059636365</v>
      </c>
      <c r="W56" s="608">
        <f t="shared" si="6"/>
        <v>59431.09080414546</v>
      </c>
      <c r="X56" s="608">
        <f t="shared" si="7"/>
        <v>1426346.179299491</v>
      </c>
    </row>
    <row r="57" spans="1:24">
      <c r="A57" s="604">
        <f>'CADASTRO V-T e ISS'!A57</f>
        <v>52</v>
      </c>
      <c r="B57" s="605" t="str">
        <f>'CADASTRO V-T e ISS'!B57</f>
        <v>Croatá</v>
      </c>
      <c r="C57" s="606">
        <f>IF('CADASTRO V-T e ISS'!C57="SIM",'CADASTRO V-T e ISS'!D57*'CADASTRO V-T e ISS'!E57*'CADASTRO V-T e ISS'!F57,0)</f>
        <v>0</v>
      </c>
      <c r="D57" s="607">
        <f>'CADASTRO V-T e ISS'!G57</f>
        <v>0</v>
      </c>
      <c r="E57" s="621">
        <f>(('VALOR POSTOS MÊS '!E40+('VALOR POSTOS MÊS '!E48+'VALOR POSTOS MÊS '!E62+(MAX(0,$C57-0.06*'VALOR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'!$D$149-$D57)</f>
        <v>8428.8640036363649</v>
      </c>
      <c r="F57" s="621">
        <f>(('VALOR POSTOS MÊS '!F40+('VALOR POSTOS MÊS '!F48+'VALOR POSTOS MÊS '!F62+(MAX(0,$C57-0.06*'VALOR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'!$D$149-$D57)</f>
        <v>8281.6094581818197</v>
      </c>
      <c r="G57" s="621">
        <f>(('VALOR POSTOS MÊS '!G40+('VALOR POSTOS MÊS '!G48+'VALOR POSTOS MÊS '!G62+(MAX(0,$C57-0.06*'VALOR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'!$D$149-$D57)</f>
        <v>10267.560367272728</v>
      </c>
      <c r="H57" s="621">
        <f>(('VALOR POSTOS MÊS '!H40+('VALOR POSTOS MÊS '!H48+'VALOR POSTOS MÊS '!H62+(MAX(0,$C57-0.06*'VALOR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'!$D$149-$D57)</f>
        <v>12184.771276363639</v>
      </c>
      <c r="I57" s="621">
        <f>(('VALOR POSTOS MÊS '!I40+('VALOR POSTOS MÊS '!I48+'VALOR POSTOS MÊS '!I62+(MAX(0,$C57-0.06*'VALOR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'!$D$149-$D57)</f>
        <v>15820.113094545455</v>
      </c>
      <c r="J57" s="621">
        <f>(('VALOR POSTOS MÊS '!J40+('VALOR POSTOS MÊS '!J48+'VALOR POSTOS MÊS '!J62+(MAX(0,$C57-0.06*'VALOR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'!$D$149-$D57)</f>
        <v>19964.125821818187</v>
      </c>
      <c r="K57" s="621">
        <f>(('VALOR POSTOS MÊS '!K40+('VALOR POSTOS MÊS '!K48+'VALOR POSTOS MÊS '!K62+(MAX(0,$C57-0.06*'VALOR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'!$D$149-$D57)</f>
        <v>10555.705821818183</v>
      </c>
      <c r="L57" s="621">
        <f>(('VALOR POSTOS MÊS '!L40+('VALOR POSTOS MÊS '!L48+'VALOR POSTOS MÊS '!L62+(MAX(0,$C57-0.06*'VALOR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'!$D$149-$D57)</f>
        <v>10285.696730909092</v>
      </c>
      <c r="M57" s="604">
        <f>'CADASTRO V-T e ISS'!H57</f>
        <v>0</v>
      </c>
      <c r="N57" s="604">
        <f>'CADASTRO V-T e ISS'!I57</f>
        <v>0</v>
      </c>
      <c r="O57" s="604">
        <f>'CADASTRO V-T e ISS'!J57</f>
        <v>0</v>
      </c>
      <c r="P57" s="604">
        <f>'CADASTRO V-T e ISS'!K57</f>
        <v>0</v>
      </c>
      <c r="Q57" s="604">
        <f>'CADASTRO V-T e ISS'!L57</f>
        <v>0</v>
      </c>
      <c r="R57" s="604">
        <f>'CADASTRO V-T e ISS'!M57</f>
        <v>0</v>
      </c>
      <c r="S57" s="604">
        <f>'CADASTRO V-T e ISS'!N57</f>
        <v>0</v>
      </c>
      <c r="T57" s="604">
        <f>'CADASTRO V-T e ISS'!O57</f>
        <v>0</v>
      </c>
      <c r="U57" s="608">
        <f t="shared" si="4"/>
        <v>0</v>
      </c>
      <c r="V57" s="608">
        <f t="shared" si="5"/>
        <v>0</v>
      </c>
      <c r="W57" s="608">
        <f t="shared" si="6"/>
        <v>0</v>
      </c>
      <c r="X57" s="608">
        <f t="shared" si="7"/>
        <v>0</v>
      </c>
    </row>
    <row r="58" spans="1:24">
      <c r="A58" s="604">
        <f>'CADASTRO V-T e ISS'!A58</f>
        <v>53</v>
      </c>
      <c r="B58" s="605" t="str">
        <f>'CADASTRO V-T e ISS'!B58</f>
        <v>Cruz</v>
      </c>
      <c r="C58" s="606">
        <f>IF('CADASTRO V-T e ISS'!C58="SIM",'CADASTRO V-T e ISS'!D58*'CADASTRO V-T e ISS'!E58*'CADASTRO V-T e ISS'!F58,0)</f>
        <v>0</v>
      </c>
      <c r="D58" s="607">
        <f>'CADASTRO V-T e ISS'!G58</f>
        <v>0</v>
      </c>
      <c r="E58" s="621">
        <f>(('VALOR POSTOS MÊS '!E40+('VALOR POSTOS MÊS '!E48+'VALOR POSTOS MÊS '!E62+(MAX(0,$C58-0.06*'VALOR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'!$D$149-$D58)</f>
        <v>8428.8640036363649</v>
      </c>
      <c r="F58" s="621">
        <f>(('VALOR POSTOS MÊS '!F40+('VALOR POSTOS MÊS '!F48+'VALOR POSTOS MÊS '!F62+(MAX(0,$C58-0.06*'VALOR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'!$D$149-$D58)</f>
        <v>8281.6094581818197</v>
      </c>
      <c r="G58" s="621">
        <f>(('VALOR POSTOS MÊS '!G40+('VALOR POSTOS MÊS '!G48+'VALOR POSTOS MÊS '!G62+(MAX(0,$C58-0.06*'VALOR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'!$D$149-$D58)</f>
        <v>10267.560367272728</v>
      </c>
      <c r="H58" s="621">
        <f>(('VALOR POSTOS MÊS '!H40+('VALOR POSTOS MÊS '!H48+'VALOR POSTOS MÊS '!H62+(MAX(0,$C58-0.06*'VALOR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'!$D$149-$D58)</f>
        <v>12184.771276363639</v>
      </c>
      <c r="I58" s="621">
        <f>(('VALOR POSTOS MÊS '!I40+('VALOR POSTOS MÊS '!I48+'VALOR POSTOS MÊS '!I62+(MAX(0,$C58-0.06*'VALOR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'!$D$149-$D58)</f>
        <v>15820.113094545455</v>
      </c>
      <c r="J58" s="621">
        <f>(('VALOR POSTOS MÊS '!J40+('VALOR POSTOS MÊS '!J48+'VALOR POSTOS MÊS '!J62+(MAX(0,$C58-0.06*'VALOR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'!$D$149-$D58)</f>
        <v>19964.125821818187</v>
      </c>
      <c r="K58" s="621">
        <f>(('VALOR POSTOS MÊS '!K40+('VALOR POSTOS MÊS '!K48+'VALOR POSTOS MÊS '!K62+(MAX(0,$C58-0.06*'VALOR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'!$D$149-$D58)</f>
        <v>10555.705821818183</v>
      </c>
      <c r="L58" s="621">
        <f>(('VALOR POSTOS MÊS '!L40+('VALOR POSTOS MÊS '!L48+'VALOR POSTOS MÊS '!L62+(MAX(0,$C58-0.06*'VALOR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'!$D$149-$D58)</f>
        <v>10285.696730909092</v>
      </c>
      <c r="M58" s="604">
        <f>'CADASTRO V-T e ISS'!H58</f>
        <v>0</v>
      </c>
      <c r="N58" s="604">
        <f>'CADASTRO V-T e ISS'!I58</f>
        <v>0</v>
      </c>
      <c r="O58" s="604">
        <f>'CADASTRO V-T e ISS'!J58</f>
        <v>0</v>
      </c>
      <c r="P58" s="604">
        <f>'CADASTRO V-T e ISS'!K58</f>
        <v>0</v>
      </c>
      <c r="Q58" s="604">
        <f>'CADASTRO V-T e ISS'!L58</f>
        <v>0</v>
      </c>
      <c r="R58" s="604">
        <f>'CADASTRO V-T e ISS'!M58</f>
        <v>0</v>
      </c>
      <c r="S58" s="604">
        <f>'CADASTRO V-T e ISS'!N58</f>
        <v>0</v>
      </c>
      <c r="T58" s="604">
        <f>'CADASTRO V-T e ISS'!O58</f>
        <v>0</v>
      </c>
      <c r="U58" s="608">
        <f t="shared" si="4"/>
        <v>0</v>
      </c>
      <c r="V58" s="608">
        <f t="shared" si="5"/>
        <v>0</v>
      </c>
      <c r="W58" s="608">
        <f t="shared" si="6"/>
        <v>0</v>
      </c>
      <c r="X58" s="608">
        <f t="shared" si="7"/>
        <v>0</v>
      </c>
    </row>
    <row r="59" spans="1:24">
      <c r="A59" s="604">
        <f>'CADASTRO V-T e ISS'!A59</f>
        <v>54</v>
      </c>
      <c r="B59" s="605" t="str">
        <f>'CADASTRO V-T e ISS'!B59</f>
        <v>Deputado Irapuan Pinheiro</v>
      </c>
      <c r="C59" s="606">
        <f>IF('CADASTRO V-T e ISS'!C59="SIM",'CADASTRO V-T e ISS'!D59*'CADASTRO V-T e ISS'!E59*'CADASTRO V-T e ISS'!F59,0)</f>
        <v>0</v>
      </c>
      <c r="D59" s="607">
        <f>'CADASTRO V-T e ISS'!G59</f>
        <v>0</v>
      </c>
      <c r="E59" s="621">
        <f>(('VALOR POSTOS MÊS '!E40+('VALOR POSTOS MÊS '!E48+'VALOR POSTOS MÊS '!E62+(MAX(0,$C59-0.06*'VALOR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'!E62+(MAX(0,$C59-0.06*'VALOR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'!$D$149-$D59)</f>
        <v>8428.8640036363649</v>
      </c>
      <c r="F59" s="621">
        <f>(('VALOR POSTOS MÊS '!F40+('VALOR POSTOS MÊS '!F48+'VALOR POSTOS MÊS '!F62+(MAX(0,$C59-0.06*'VALOR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'!F62+(MAX(0,$C59-0.06*'VALOR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'!$D$149-$D59)</f>
        <v>8281.6094581818197</v>
      </c>
      <c r="G59" s="621">
        <f>(('VALOR POSTOS MÊS '!G40+('VALOR POSTOS MÊS '!G48+'VALOR POSTOS MÊS '!G62+(MAX(0,$C59-0.06*'VALOR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'!G62+(MAX(0,$C59-0.06*'VALOR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'!$D$149-$D59)</f>
        <v>10267.560367272728</v>
      </c>
      <c r="H59" s="621">
        <f>(('VALOR POSTOS MÊS '!H40+('VALOR POSTOS MÊS '!H48+'VALOR POSTOS MÊS '!H62+(MAX(0,$C59-0.06*'VALOR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'!H62+(MAX(0,$C59-0.06*'VALOR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'!$D$149-$D59)</f>
        <v>12184.771276363639</v>
      </c>
      <c r="I59" s="621">
        <f>(('VALOR POSTOS MÊS '!I40+('VALOR POSTOS MÊS '!I48+'VALOR POSTOS MÊS '!I62+(MAX(0,$C59-0.06*'VALOR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'!I62+(MAX(0,$C59-0.06*'VALOR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'!$D$149-$D59)</f>
        <v>15820.113094545455</v>
      </c>
      <c r="J59" s="621">
        <f>(('VALOR POSTOS MÊS '!J40+('VALOR POSTOS MÊS '!J48+'VALOR POSTOS MÊS '!J62+(MAX(0,$C59-0.06*'VALOR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'!J62+(MAX(0,$C59-0.06*'VALOR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'!$D$149-$D59)</f>
        <v>19964.125821818187</v>
      </c>
      <c r="K59" s="621">
        <f>(('VALOR POSTOS MÊS '!K40+('VALOR POSTOS MÊS '!K48+'VALOR POSTOS MÊS '!K62+(MAX(0,$C59-0.06*'VALOR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'!K62+(MAX(0,$C59-0.06*'VALOR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'!$D$149-$D59)</f>
        <v>10555.705821818183</v>
      </c>
      <c r="L59" s="621">
        <f>(('VALOR POSTOS MÊS '!L40+('VALOR POSTOS MÊS '!L48+'VALOR POSTOS MÊS '!L62+(MAX(0,$C59-0.06*'VALOR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'!L62+(MAX(0,$C59-0.06*'VALOR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'!$D$149-$D59)</f>
        <v>10285.696730909092</v>
      </c>
      <c r="M59" s="604">
        <f>'CADASTRO V-T e ISS'!H59</f>
        <v>0</v>
      </c>
      <c r="N59" s="604">
        <f>'CADASTRO V-T e ISS'!I59</f>
        <v>0</v>
      </c>
      <c r="O59" s="604">
        <f>'CADASTRO V-T e ISS'!J59</f>
        <v>0</v>
      </c>
      <c r="P59" s="604">
        <f>'CADASTRO V-T e ISS'!K59</f>
        <v>0</v>
      </c>
      <c r="Q59" s="604">
        <f>'CADASTRO V-T e ISS'!L59</f>
        <v>0</v>
      </c>
      <c r="R59" s="604">
        <f>'CADASTRO V-T e ISS'!M59</f>
        <v>0</v>
      </c>
      <c r="S59" s="604">
        <f>'CADASTRO V-T e ISS'!N59</f>
        <v>0</v>
      </c>
      <c r="T59" s="604">
        <f>'CADASTRO V-T e ISS'!O59</f>
        <v>0</v>
      </c>
      <c r="U59" s="608">
        <f t="shared" si="4"/>
        <v>0</v>
      </c>
      <c r="V59" s="608">
        <f t="shared" si="5"/>
        <v>0</v>
      </c>
      <c r="W59" s="608">
        <f t="shared" si="6"/>
        <v>0</v>
      </c>
      <c r="X59" s="608">
        <f t="shared" si="7"/>
        <v>0</v>
      </c>
    </row>
    <row r="60" spans="1:24">
      <c r="A60" s="604">
        <f>'CADASTRO V-T e ISS'!A60</f>
        <v>55</v>
      </c>
      <c r="B60" s="605" t="str">
        <f>'CADASTRO V-T e ISS'!B60</f>
        <v>Ererê</v>
      </c>
      <c r="C60" s="606">
        <f>IF('CADASTRO V-T e ISS'!C60="SIM",'CADASTRO V-T e ISS'!D60*'CADASTRO V-T e ISS'!E60*'CADASTRO V-T e ISS'!F60,0)</f>
        <v>0</v>
      </c>
      <c r="D60" s="607">
        <f>'CADASTRO V-T e ISS'!G60</f>
        <v>0</v>
      </c>
      <c r="E60" s="621">
        <f>(('VALOR POSTOS MÊS '!E40+('VALOR POSTOS MÊS '!E48+'VALOR POSTOS MÊS '!E62+(MAX(0,$C60-0.06*'VALOR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'!$D$149-$D60)</f>
        <v>8428.8640036363649</v>
      </c>
      <c r="F60" s="621">
        <f>(('VALOR POSTOS MÊS '!F40+('VALOR POSTOS MÊS '!F48+'VALOR POSTOS MÊS '!F62+(MAX(0,$C60-0.06*'VALOR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'!$D$149-$D60)</f>
        <v>8281.6094581818197</v>
      </c>
      <c r="G60" s="621">
        <f>(('VALOR POSTOS MÊS '!G40+('VALOR POSTOS MÊS '!G48+'VALOR POSTOS MÊS '!G62+(MAX(0,$C60-0.06*'VALOR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'!$D$149-$D60)</f>
        <v>10267.560367272728</v>
      </c>
      <c r="H60" s="621">
        <f>(('VALOR POSTOS MÊS '!H40+('VALOR POSTOS MÊS '!H48+'VALOR POSTOS MÊS '!H62+(MAX(0,$C60-0.06*'VALOR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'!$D$149-$D60)</f>
        <v>12184.771276363639</v>
      </c>
      <c r="I60" s="621">
        <f>(('VALOR POSTOS MÊS '!I40+('VALOR POSTOS MÊS '!I48+'VALOR POSTOS MÊS '!I62+(MAX(0,$C60-0.06*'VALOR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'!$D$149-$D60)</f>
        <v>15820.113094545455</v>
      </c>
      <c r="J60" s="621">
        <f>(('VALOR POSTOS MÊS '!J40+('VALOR POSTOS MÊS '!J48+'VALOR POSTOS MÊS '!J62+(MAX(0,$C60-0.06*'VALOR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'!$D$149-$D60)</f>
        <v>19964.125821818187</v>
      </c>
      <c r="K60" s="621">
        <f>(('VALOR POSTOS MÊS '!K40+('VALOR POSTOS MÊS '!K48+'VALOR POSTOS MÊS '!K62+(MAX(0,$C60-0.06*'VALOR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'!$D$149-$D60)</f>
        <v>10555.705821818183</v>
      </c>
      <c r="L60" s="621">
        <f>(('VALOR POSTOS MÊS '!L40+('VALOR POSTOS MÊS '!L48+'VALOR POSTOS MÊS '!L62+(MAX(0,$C60-0.06*'VALOR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'!$D$149-$D60)</f>
        <v>10285.696730909092</v>
      </c>
      <c r="M60" s="604">
        <f>'CADASTRO V-T e ISS'!H60</f>
        <v>0</v>
      </c>
      <c r="N60" s="604">
        <f>'CADASTRO V-T e ISS'!I60</f>
        <v>0</v>
      </c>
      <c r="O60" s="604">
        <f>'CADASTRO V-T e ISS'!J60</f>
        <v>0</v>
      </c>
      <c r="P60" s="604">
        <f>'CADASTRO V-T e ISS'!K60</f>
        <v>0</v>
      </c>
      <c r="Q60" s="604">
        <f>'CADASTRO V-T e ISS'!L60</f>
        <v>0</v>
      </c>
      <c r="R60" s="604">
        <f>'CADASTRO V-T e ISS'!M60</f>
        <v>0</v>
      </c>
      <c r="S60" s="604">
        <f>'CADASTRO V-T e ISS'!N60</f>
        <v>0</v>
      </c>
      <c r="T60" s="604">
        <f>'CADASTRO V-T e ISS'!O60</f>
        <v>0</v>
      </c>
      <c r="U60" s="608">
        <f t="shared" si="4"/>
        <v>0</v>
      </c>
      <c r="V60" s="608">
        <f t="shared" si="5"/>
        <v>0</v>
      </c>
      <c r="W60" s="608">
        <f t="shared" si="6"/>
        <v>0</v>
      </c>
      <c r="X60" s="608">
        <f t="shared" si="7"/>
        <v>0</v>
      </c>
    </row>
    <row r="61" spans="1:24">
      <c r="A61" s="604">
        <f>'CADASTRO V-T e ISS'!A61</f>
        <v>56</v>
      </c>
      <c r="B61" s="605" t="str">
        <f>'CADASTRO V-T e ISS'!B61</f>
        <v>Eusébio</v>
      </c>
      <c r="C61" s="606">
        <f>IF('CADASTRO V-T e ISS'!C61="SIM",'CADASTRO V-T e ISS'!D61*'CADASTRO V-T e ISS'!E61*'CADASTRO V-T e ISS'!F61,0)</f>
        <v>0</v>
      </c>
      <c r="D61" s="607">
        <f>'CADASTRO V-T e ISS'!G61</f>
        <v>0</v>
      </c>
      <c r="E61" s="621">
        <f>(('VALOR POSTOS MÊS '!E40+('VALOR POSTOS MÊS '!E48+'VALOR POSTOS MÊS '!E62+(MAX(0,$C61-0.06*'VALOR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'!$D$149-$D61)</f>
        <v>8428.8640036363649</v>
      </c>
      <c r="F61" s="621">
        <f>(('VALOR POSTOS MÊS '!F40+('VALOR POSTOS MÊS '!F48+'VALOR POSTOS MÊS '!F62+(MAX(0,$C61-0.06*'VALOR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'!$D$149-$D61)</f>
        <v>8281.6094581818197</v>
      </c>
      <c r="G61" s="621">
        <f>(('VALOR POSTOS MÊS '!G40+('VALOR POSTOS MÊS '!G48+'VALOR POSTOS MÊS '!G62+(MAX(0,$C61-0.06*'VALOR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'!$D$149-$D61)</f>
        <v>10267.560367272728</v>
      </c>
      <c r="H61" s="621">
        <f>(('VALOR POSTOS MÊS '!H40+('VALOR POSTOS MÊS '!H48+'VALOR POSTOS MÊS '!H62+(MAX(0,$C61-0.06*'VALOR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'!$D$149-$D61)</f>
        <v>12184.771276363639</v>
      </c>
      <c r="I61" s="621">
        <f>(('VALOR POSTOS MÊS '!I40+('VALOR POSTOS MÊS '!I48+'VALOR POSTOS MÊS '!I62+(MAX(0,$C61-0.06*'VALOR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'!$D$149-$D61)</f>
        <v>15820.113094545455</v>
      </c>
      <c r="J61" s="621">
        <f>(('VALOR POSTOS MÊS '!J40+('VALOR POSTOS MÊS '!J48+'VALOR POSTOS MÊS '!J62+(MAX(0,$C61-0.06*'VALOR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'!$D$149-$D61)</f>
        <v>19964.125821818187</v>
      </c>
      <c r="K61" s="621">
        <f>(('VALOR POSTOS MÊS '!K40+('VALOR POSTOS MÊS '!K48+'VALOR POSTOS MÊS '!K62+(MAX(0,$C61-0.06*'VALOR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'!$D$149-$D61)</f>
        <v>10555.705821818183</v>
      </c>
      <c r="L61" s="621">
        <f>(('VALOR POSTOS MÊS '!L40+('VALOR POSTOS MÊS '!L48+'VALOR POSTOS MÊS '!L62+(MAX(0,$C61-0.06*'VALOR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'!$D$149-$D61)</f>
        <v>10285.696730909092</v>
      </c>
      <c r="M61" s="604">
        <f>'CADASTRO V-T e ISS'!H61</f>
        <v>1</v>
      </c>
      <c r="N61" s="604">
        <f>'CADASTRO V-T e ISS'!I61</f>
        <v>2</v>
      </c>
      <c r="O61" s="604">
        <f>'CADASTRO V-T e ISS'!J61</f>
        <v>0</v>
      </c>
      <c r="P61" s="604">
        <f>'CADASTRO V-T e ISS'!K61</f>
        <v>0</v>
      </c>
      <c r="Q61" s="604">
        <f>'CADASTRO V-T e ISS'!L61</f>
        <v>0</v>
      </c>
      <c r="R61" s="604">
        <f>'CADASTRO V-T e ISS'!M61</f>
        <v>0</v>
      </c>
      <c r="S61" s="604">
        <f>'CADASTRO V-T e ISS'!N61</f>
        <v>0</v>
      </c>
      <c r="T61" s="604">
        <f>'CADASTRO V-T e ISS'!O61</f>
        <v>0</v>
      </c>
      <c r="U61" s="608">
        <f t="shared" si="4"/>
        <v>24992.082920000004</v>
      </c>
      <c r="V61" s="608">
        <f t="shared" si="5"/>
        <v>499.84165840000009</v>
      </c>
      <c r="W61" s="608">
        <f t="shared" si="6"/>
        <v>25491.924578400005</v>
      </c>
      <c r="X61" s="608">
        <f t="shared" si="7"/>
        <v>611806.18988160009</v>
      </c>
    </row>
    <row r="62" spans="1:24">
      <c r="A62" s="604">
        <f>'CADASTRO V-T e ISS'!A62</f>
        <v>57</v>
      </c>
      <c r="B62" s="605" t="str">
        <f>'CADASTRO V-T e ISS'!B62</f>
        <v>Farias Brito</v>
      </c>
      <c r="C62" s="606">
        <f>IF('CADASTRO V-T e ISS'!C62="SIM",'CADASTRO V-T e ISS'!D62*'CADASTRO V-T e ISS'!E62*'CADASTRO V-T e ISS'!F62,0)</f>
        <v>0</v>
      </c>
      <c r="D62" s="607">
        <f>'CADASTRO V-T e ISS'!G62</f>
        <v>0</v>
      </c>
      <c r="E62" s="621">
        <f>(('VALOR POSTOS MÊS '!E40+('VALOR POSTOS MÊS '!E48+'VALOR POSTOS MÊS '!E62+(MAX(0,$C62-0.06*'VALOR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'!$D$149-$D62)</f>
        <v>8428.8640036363649</v>
      </c>
      <c r="F62" s="621">
        <f>(('VALOR POSTOS MÊS '!F40+('VALOR POSTOS MÊS '!F48+'VALOR POSTOS MÊS '!F62+(MAX(0,$C62-0.06*'VALOR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'!$D$149-$D62)</f>
        <v>8281.6094581818197</v>
      </c>
      <c r="G62" s="621">
        <f>(('VALOR POSTOS MÊS '!G40+('VALOR POSTOS MÊS '!G48+'VALOR POSTOS MÊS '!G62+(MAX(0,$C62-0.06*'VALOR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'!$D$149-$D62)</f>
        <v>10267.560367272728</v>
      </c>
      <c r="H62" s="621">
        <f>(('VALOR POSTOS MÊS '!H40+('VALOR POSTOS MÊS '!H48+'VALOR POSTOS MÊS '!H62+(MAX(0,$C62-0.06*'VALOR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'!$D$149-$D62)</f>
        <v>12184.771276363639</v>
      </c>
      <c r="I62" s="621">
        <f>(('VALOR POSTOS MÊS '!I40+('VALOR POSTOS MÊS '!I48+'VALOR POSTOS MÊS '!I62+(MAX(0,$C62-0.06*'VALOR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'!$D$149-$D62)</f>
        <v>15820.113094545455</v>
      </c>
      <c r="J62" s="621">
        <f>(('VALOR POSTOS MÊS '!J40+('VALOR POSTOS MÊS '!J48+'VALOR POSTOS MÊS '!J62+(MAX(0,$C62-0.06*'VALOR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'!$D$149-$D62)</f>
        <v>19964.125821818187</v>
      </c>
      <c r="K62" s="621">
        <f>(('VALOR POSTOS MÊS '!K40+('VALOR POSTOS MÊS '!K48+'VALOR POSTOS MÊS '!K62+(MAX(0,$C62-0.06*'VALOR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'!$D$149-$D62)</f>
        <v>10555.705821818183</v>
      </c>
      <c r="L62" s="621">
        <f>(('VALOR POSTOS MÊS '!L40+('VALOR POSTOS MÊS '!L48+'VALOR POSTOS MÊS '!L62+(MAX(0,$C62-0.06*'VALOR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'!$D$149-$D62)</f>
        <v>10285.696730909092</v>
      </c>
      <c r="M62" s="604">
        <f>'CADASTRO V-T e ISS'!H62</f>
        <v>1</v>
      </c>
      <c r="N62" s="604">
        <f>'CADASTRO V-T e ISS'!I62</f>
        <v>1</v>
      </c>
      <c r="O62" s="604">
        <f>'CADASTRO V-T e ISS'!J62</f>
        <v>0</v>
      </c>
      <c r="P62" s="604">
        <f>'CADASTRO V-T e ISS'!K62</f>
        <v>0</v>
      </c>
      <c r="Q62" s="604">
        <f>'CADASTRO V-T e ISS'!L62</f>
        <v>0</v>
      </c>
      <c r="R62" s="604">
        <f>'CADASTRO V-T e ISS'!M62</f>
        <v>0</v>
      </c>
      <c r="S62" s="604">
        <f>'CADASTRO V-T e ISS'!N62</f>
        <v>0</v>
      </c>
      <c r="T62" s="604">
        <f>'CADASTRO V-T e ISS'!O62</f>
        <v>0</v>
      </c>
      <c r="U62" s="608">
        <f t="shared" si="4"/>
        <v>16710.473461818183</v>
      </c>
      <c r="V62" s="608">
        <f t="shared" si="5"/>
        <v>334.20946923636365</v>
      </c>
      <c r="W62" s="608">
        <f t="shared" si="6"/>
        <v>17044.682931054547</v>
      </c>
      <c r="X62" s="608">
        <f t="shared" si="7"/>
        <v>409072.39034530916</v>
      </c>
    </row>
    <row r="63" spans="1:24">
      <c r="A63" s="604">
        <f>'CADASTRO V-T e ISS'!A63</f>
        <v>58</v>
      </c>
      <c r="B63" s="605" t="str">
        <f>'CADASTRO V-T e ISS'!B63</f>
        <v>Forquilha</v>
      </c>
      <c r="C63" s="606">
        <f>IF('CADASTRO V-T e ISS'!C63="SIM",'CADASTRO V-T e ISS'!D63*'CADASTRO V-T e ISS'!E63*'CADASTRO V-T e ISS'!F63,0)</f>
        <v>0</v>
      </c>
      <c r="D63" s="607">
        <f>'CADASTRO V-T e ISS'!G63</f>
        <v>0</v>
      </c>
      <c r="E63" s="621">
        <f>(('VALOR POSTOS MÊS '!E40+('VALOR POSTOS MÊS '!E48+'VALOR POSTOS MÊS '!E62+(MAX(0,$C63-0.06*'VALOR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'!$D$149-$D63)</f>
        <v>8428.8640036363649</v>
      </c>
      <c r="F63" s="621">
        <f>(('VALOR POSTOS MÊS '!F40+('VALOR POSTOS MÊS '!F48+'VALOR POSTOS MÊS '!F62+(MAX(0,$C63-0.06*'VALOR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'!$D$149-$D63)</f>
        <v>8281.6094581818197</v>
      </c>
      <c r="G63" s="621">
        <f>(('VALOR POSTOS MÊS '!G40+('VALOR POSTOS MÊS '!G48+'VALOR POSTOS MÊS '!G62+(MAX(0,$C63-0.06*'VALOR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'!$D$149-$D63)</f>
        <v>10267.560367272728</v>
      </c>
      <c r="H63" s="621">
        <f>(('VALOR POSTOS MÊS '!H40+('VALOR POSTOS MÊS '!H48+'VALOR POSTOS MÊS '!H62+(MAX(0,$C63-0.06*'VALOR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'!$D$149-$D63)</f>
        <v>12184.771276363639</v>
      </c>
      <c r="I63" s="621">
        <f>(('VALOR POSTOS MÊS '!I40+('VALOR POSTOS MÊS '!I48+'VALOR POSTOS MÊS '!I62+(MAX(0,$C63-0.06*'VALOR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'!$D$149-$D63)</f>
        <v>15820.113094545455</v>
      </c>
      <c r="J63" s="621">
        <f>(('VALOR POSTOS MÊS '!J40+('VALOR POSTOS MÊS '!J48+'VALOR POSTOS MÊS '!J62+(MAX(0,$C63-0.06*'VALOR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'!$D$149-$D63)</f>
        <v>19964.125821818187</v>
      </c>
      <c r="K63" s="621">
        <f>(('VALOR POSTOS MÊS '!K40+('VALOR POSTOS MÊS '!K48+'VALOR POSTOS MÊS '!K62+(MAX(0,$C63-0.06*'VALOR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'!$D$149-$D63)</f>
        <v>10555.705821818183</v>
      </c>
      <c r="L63" s="621">
        <f>(('VALOR POSTOS MÊS '!L40+('VALOR POSTOS MÊS '!L48+'VALOR POSTOS MÊS '!L62+(MAX(0,$C63-0.06*'VALOR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'!$D$149-$D63)</f>
        <v>10285.696730909092</v>
      </c>
      <c r="M63" s="604">
        <f>'CADASTRO V-T e ISS'!H63</f>
        <v>0</v>
      </c>
      <c r="N63" s="604">
        <f>'CADASTRO V-T e ISS'!I63</f>
        <v>0</v>
      </c>
      <c r="O63" s="604">
        <f>'CADASTRO V-T e ISS'!J63</f>
        <v>0</v>
      </c>
      <c r="P63" s="604">
        <f>'CADASTRO V-T e ISS'!K63</f>
        <v>0</v>
      </c>
      <c r="Q63" s="604">
        <f>'CADASTRO V-T e ISS'!L63</f>
        <v>0</v>
      </c>
      <c r="R63" s="604">
        <f>'CADASTRO V-T e ISS'!M63</f>
        <v>0</v>
      </c>
      <c r="S63" s="604">
        <f>'CADASTRO V-T e ISS'!N63</f>
        <v>0</v>
      </c>
      <c r="T63" s="604">
        <f>'CADASTRO V-T e ISS'!O63</f>
        <v>0</v>
      </c>
      <c r="U63" s="608">
        <f t="shared" si="4"/>
        <v>0</v>
      </c>
      <c r="V63" s="608">
        <f t="shared" si="5"/>
        <v>0</v>
      </c>
      <c r="W63" s="608">
        <f t="shared" si="6"/>
        <v>0</v>
      </c>
      <c r="X63" s="608">
        <f t="shared" si="7"/>
        <v>0</v>
      </c>
    </row>
    <row r="64" spans="1:24">
      <c r="A64" s="604">
        <f>'CADASTRO V-T e ISS'!A64</f>
        <v>59</v>
      </c>
      <c r="B64" s="605" t="str">
        <f>'CADASTRO V-T e ISS'!B64</f>
        <v>Fortaleza</v>
      </c>
      <c r="C64" s="606">
        <f>IF('CADASTRO V-T e ISS'!C64="SIM",'CADASTRO V-T e ISS'!D64*'CADASTRO V-T e ISS'!E64*'CADASTRO V-T e ISS'!F64,0)</f>
        <v>0</v>
      </c>
      <c r="D64" s="607">
        <f>'CADASTRO V-T e ISS'!G64</f>
        <v>0</v>
      </c>
      <c r="E64" s="621">
        <f>(('VALOR POSTOS MÊS '!E40+('VALOR POSTOS MÊS '!E48+'VALOR POSTOS MÊS '!E62+(MAX(0,$C64-0.06*'VALOR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'!$D$149-$D64)</f>
        <v>8428.8640036363649</v>
      </c>
      <c r="F64" s="621">
        <f>(('VALOR POSTOS MÊS '!F40+('VALOR POSTOS MÊS '!F48+'VALOR POSTOS MÊS '!F62+(MAX(0,$C64-0.06*'VALOR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'!$D$149-$D64)</f>
        <v>8281.6094581818197</v>
      </c>
      <c r="G64" s="621">
        <f>(('VALOR POSTOS MÊS '!G40+('VALOR POSTOS MÊS '!G48+'VALOR POSTOS MÊS '!G62+(MAX(0,$C64-0.06*'VALOR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'!$D$149-$D64)</f>
        <v>10267.560367272728</v>
      </c>
      <c r="H64" s="621">
        <f>(('VALOR POSTOS MÊS '!H40+('VALOR POSTOS MÊS '!H48+'VALOR POSTOS MÊS '!H62+(MAX(0,$C64-0.06*'VALOR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'!$D$149-$D64)</f>
        <v>12184.771276363639</v>
      </c>
      <c r="I64" s="621">
        <f>(('VALOR POSTOS MÊS '!I40+('VALOR POSTOS MÊS '!I48+'VALOR POSTOS MÊS '!I62+(MAX(0,$C64-0.06*'VALOR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'!$D$149-$D64)</f>
        <v>15820.113094545455</v>
      </c>
      <c r="J64" s="621">
        <f>(('VALOR POSTOS MÊS '!J40+('VALOR POSTOS MÊS '!J48+'VALOR POSTOS MÊS '!J62+(MAX(0,$C64-0.06*'VALOR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'!$D$149-$D64)</f>
        <v>19964.125821818187</v>
      </c>
      <c r="K64" s="621">
        <f>(('VALOR POSTOS MÊS '!K40+('VALOR POSTOS MÊS '!K48+'VALOR POSTOS MÊS '!K62+(MAX(0,$C64-0.06*'VALOR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'!$D$149-$D64)</f>
        <v>10555.705821818183</v>
      </c>
      <c r="L64" s="621">
        <f>(('VALOR POSTOS MÊS '!L40+('VALOR POSTOS MÊS '!L48+'VALOR POSTOS MÊS '!L62+(MAX(0,$C64-0.06*'VALOR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'!$D$149-$D64)</f>
        <v>10285.696730909092</v>
      </c>
      <c r="M64" s="604">
        <f>'CADASTRO V-T e ISS'!H64</f>
        <v>88</v>
      </c>
      <c r="N64" s="604">
        <f>'CADASTRO V-T e ISS'!I64</f>
        <v>136</v>
      </c>
      <c r="O64" s="604">
        <f>'CADASTRO V-T e ISS'!J64</f>
        <v>126</v>
      </c>
      <c r="P64" s="604">
        <f>'CADASTRO V-T e ISS'!K64</f>
        <v>26</v>
      </c>
      <c r="Q64" s="604">
        <f>'CADASTRO V-T e ISS'!L64</f>
        <v>9</v>
      </c>
      <c r="R64" s="604">
        <f>'CADASTRO V-T e ISS'!M64</f>
        <v>5</v>
      </c>
      <c r="S64" s="604">
        <f>'CADASTRO V-T e ISS'!N64</f>
        <v>14</v>
      </c>
      <c r="T64" s="604">
        <f>'CADASTRO V-T e ISS'!O64</f>
        <v>14</v>
      </c>
      <c r="U64" s="608">
        <f t="shared" si="4"/>
        <v>4012536.8607927277</v>
      </c>
      <c r="V64" s="608">
        <f t="shared" si="5"/>
        <v>80250.737215854562</v>
      </c>
      <c r="W64" s="608">
        <f t="shared" si="6"/>
        <v>4092787.5980085824</v>
      </c>
      <c r="X64" s="608">
        <f t="shared" si="7"/>
        <v>98226902.352205977</v>
      </c>
    </row>
    <row r="65" spans="1:24">
      <c r="A65" s="604">
        <f>'CADASTRO V-T e ISS'!A65</f>
        <v>60</v>
      </c>
      <c r="B65" s="605" t="str">
        <f>'CADASTRO V-T e ISS'!B65</f>
        <v>Fortim</v>
      </c>
      <c r="C65" s="606">
        <f>IF('CADASTRO V-T e ISS'!C65="SIM",'CADASTRO V-T e ISS'!D65*'CADASTRO V-T e ISS'!E65*'CADASTRO V-T e ISS'!F65,0)</f>
        <v>0</v>
      </c>
      <c r="D65" s="607">
        <f>'CADASTRO V-T e ISS'!G65</f>
        <v>0</v>
      </c>
      <c r="E65" s="621">
        <f>(('VALOR POSTOS MÊS '!E40+('VALOR POSTOS MÊS '!E48+'VALOR POSTOS MÊS '!E62+(MAX(0,$C65-0.06*'VALOR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'!$D$149-$D65)</f>
        <v>8428.8640036363649</v>
      </c>
      <c r="F65" s="621">
        <f>(('VALOR POSTOS MÊS '!F40+('VALOR POSTOS MÊS '!F48+'VALOR POSTOS MÊS '!F62+(MAX(0,$C65-0.06*'VALOR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'!$D$149-$D65)</f>
        <v>8281.6094581818197</v>
      </c>
      <c r="G65" s="621">
        <f>(('VALOR POSTOS MÊS '!G40+('VALOR POSTOS MÊS '!G48+'VALOR POSTOS MÊS '!G62+(MAX(0,$C65-0.06*'VALOR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'!$D$149-$D65)</f>
        <v>10267.560367272728</v>
      </c>
      <c r="H65" s="621">
        <f>(('VALOR POSTOS MÊS '!H40+('VALOR POSTOS MÊS '!H48+'VALOR POSTOS MÊS '!H62+(MAX(0,$C65-0.06*'VALOR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'!$D$149-$D65)</f>
        <v>12184.771276363639</v>
      </c>
      <c r="I65" s="621">
        <f>(('VALOR POSTOS MÊS '!I40+('VALOR POSTOS MÊS '!I48+'VALOR POSTOS MÊS '!I62+(MAX(0,$C65-0.06*'VALOR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'!$D$149-$D65)</f>
        <v>15820.113094545455</v>
      </c>
      <c r="J65" s="621">
        <f>(('VALOR POSTOS MÊS '!J40+('VALOR POSTOS MÊS '!J48+'VALOR POSTOS MÊS '!J62+(MAX(0,$C65-0.06*'VALOR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'!$D$149-$D65)</f>
        <v>19964.125821818187</v>
      </c>
      <c r="K65" s="621">
        <f>(('VALOR POSTOS MÊS '!K40+('VALOR POSTOS MÊS '!K48+'VALOR POSTOS MÊS '!K62+(MAX(0,$C65-0.06*'VALOR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'!$D$149-$D65)</f>
        <v>10555.705821818183</v>
      </c>
      <c r="L65" s="621">
        <f>(('VALOR POSTOS MÊS '!L40+('VALOR POSTOS MÊS '!L48+'VALOR POSTOS MÊS '!L62+(MAX(0,$C65-0.06*'VALOR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'!$D$149-$D65)</f>
        <v>10285.696730909092</v>
      </c>
      <c r="M65" s="604">
        <f>'CADASTRO V-T e ISS'!H65</f>
        <v>0</v>
      </c>
      <c r="N65" s="604">
        <f>'CADASTRO V-T e ISS'!I65</f>
        <v>0</v>
      </c>
      <c r="O65" s="604">
        <f>'CADASTRO V-T e ISS'!J65</f>
        <v>0</v>
      </c>
      <c r="P65" s="604">
        <f>'CADASTRO V-T e ISS'!K65</f>
        <v>0</v>
      </c>
      <c r="Q65" s="604">
        <f>'CADASTRO V-T e ISS'!L65</f>
        <v>0</v>
      </c>
      <c r="R65" s="604">
        <f>'CADASTRO V-T e ISS'!M65</f>
        <v>0</v>
      </c>
      <c r="S65" s="604">
        <f>'CADASTRO V-T e ISS'!N65</f>
        <v>0</v>
      </c>
      <c r="T65" s="604">
        <f>'CADASTRO V-T e ISS'!O65</f>
        <v>0</v>
      </c>
      <c r="U65" s="608">
        <f t="shared" si="4"/>
        <v>0</v>
      </c>
      <c r="V65" s="608">
        <f t="shared" si="5"/>
        <v>0</v>
      </c>
      <c r="W65" s="608">
        <f t="shared" si="6"/>
        <v>0</v>
      </c>
      <c r="X65" s="608">
        <f t="shared" si="7"/>
        <v>0</v>
      </c>
    </row>
    <row r="66" spans="1:24">
      <c r="A66" s="604">
        <f>'CADASTRO V-T e ISS'!A66</f>
        <v>61</v>
      </c>
      <c r="B66" s="605" t="str">
        <f>'CADASTRO V-T e ISS'!B66</f>
        <v>Frecheirinha</v>
      </c>
      <c r="C66" s="606">
        <f>IF('CADASTRO V-T e ISS'!C66="SIM",'CADASTRO V-T e ISS'!D66*'CADASTRO V-T e ISS'!E66*'CADASTRO V-T e ISS'!F66,0)</f>
        <v>0</v>
      </c>
      <c r="D66" s="607">
        <f>'CADASTRO V-T e ISS'!G66</f>
        <v>0</v>
      </c>
      <c r="E66" s="621">
        <f>(('VALOR POSTOS MÊS '!E40+('VALOR POSTOS MÊS '!E48+'VALOR POSTOS MÊS '!E62+(MAX(0,$C66-0.06*'VALOR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'!$D$149-$D66)</f>
        <v>8428.8640036363649</v>
      </c>
      <c r="F66" s="621">
        <f>(('VALOR POSTOS MÊS '!F40+('VALOR POSTOS MÊS '!F48+'VALOR POSTOS MÊS '!F62+(MAX(0,$C66-0.06*'VALOR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'!$D$149-$D66)</f>
        <v>8281.6094581818197</v>
      </c>
      <c r="G66" s="621">
        <f>(('VALOR POSTOS MÊS '!G40+('VALOR POSTOS MÊS '!G48+'VALOR POSTOS MÊS '!G62+(MAX(0,$C66-0.06*'VALOR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'!$D$149-$D66)</f>
        <v>10267.560367272728</v>
      </c>
      <c r="H66" s="621">
        <f>(('VALOR POSTOS MÊS '!H40+('VALOR POSTOS MÊS '!H48+'VALOR POSTOS MÊS '!H62+(MAX(0,$C66-0.06*'VALOR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'!$D$149-$D66)</f>
        <v>12184.771276363639</v>
      </c>
      <c r="I66" s="621">
        <f>(('VALOR POSTOS MÊS '!I40+('VALOR POSTOS MÊS '!I48+'VALOR POSTOS MÊS '!I62+(MAX(0,$C66-0.06*'VALOR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'!$D$149-$D66)</f>
        <v>15820.113094545455</v>
      </c>
      <c r="J66" s="621">
        <f>(('VALOR POSTOS MÊS '!J40+('VALOR POSTOS MÊS '!J48+'VALOR POSTOS MÊS '!J62+(MAX(0,$C66-0.06*'VALOR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'!$D$149-$D66)</f>
        <v>19964.125821818187</v>
      </c>
      <c r="K66" s="621">
        <f>(('VALOR POSTOS MÊS '!K40+('VALOR POSTOS MÊS '!K48+'VALOR POSTOS MÊS '!K62+(MAX(0,$C66-0.06*'VALOR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'!$D$149-$D66)</f>
        <v>10555.705821818183</v>
      </c>
      <c r="L66" s="621">
        <f>(('VALOR POSTOS MÊS '!L40+('VALOR POSTOS MÊS '!L48+'VALOR POSTOS MÊS '!L62+(MAX(0,$C66-0.06*'VALOR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'!$D$149-$D66)</f>
        <v>10285.696730909092</v>
      </c>
      <c r="M66" s="604">
        <f>'CADASTRO V-T e ISS'!H66</f>
        <v>0</v>
      </c>
      <c r="N66" s="604">
        <f>'CADASTRO V-T e ISS'!I66</f>
        <v>0</v>
      </c>
      <c r="O66" s="604">
        <f>'CADASTRO V-T e ISS'!J66</f>
        <v>0</v>
      </c>
      <c r="P66" s="604">
        <f>'CADASTRO V-T e ISS'!K66</f>
        <v>0</v>
      </c>
      <c r="Q66" s="604">
        <f>'CADASTRO V-T e ISS'!L66</f>
        <v>0</v>
      </c>
      <c r="R66" s="604">
        <f>'CADASTRO V-T e ISS'!M66</f>
        <v>0</v>
      </c>
      <c r="S66" s="604">
        <f>'CADASTRO V-T e ISS'!N66</f>
        <v>0</v>
      </c>
      <c r="T66" s="604">
        <f>'CADASTRO V-T e ISS'!O66</f>
        <v>0</v>
      </c>
      <c r="U66" s="608">
        <f t="shared" si="4"/>
        <v>0</v>
      </c>
      <c r="V66" s="608">
        <f t="shared" si="5"/>
        <v>0</v>
      </c>
      <c r="W66" s="608">
        <f t="shared" si="6"/>
        <v>0</v>
      </c>
      <c r="X66" s="608">
        <f t="shared" si="7"/>
        <v>0</v>
      </c>
    </row>
    <row r="67" spans="1:24">
      <c r="A67" s="604">
        <f>'CADASTRO V-T e ISS'!A67</f>
        <v>62</v>
      </c>
      <c r="B67" s="605" t="str">
        <f>'CADASTRO V-T e ISS'!B67</f>
        <v>General Sampaio</v>
      </c>
      <c r="C67" s="606">
        <f>IF('CADASTRO V-T e ISS'!C67="SIM",'CADASTRO V-T e ISS'!D67*'CADASTRO V-T e ISS'!E67*'CADASTRO V-T e ISS'!F67,0)</f>
        <v>0</v>
      </c>
      <c r="D67" s="607">
        <f>'CADASTRO V-T e ISS'!G67</f>
        <v>0</v>
      </c>
      <c r="E67" s="621">
        <f>(('VALOR POSTOS MÊS '!E40+('VALOR POSTOS MÊS '!E48+'VALOR POSTOS MÊS '!E62+(MAX(0,$C67-0.06*'VALOR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'!$D$149-$D67)</f>
        <v>8428.8640036363649</v>
      </c>
      <c r="F67" s="621">
        <f>(('VALOR POSTOS MÊS '!F40+('VALOR POSTOS MÊS '!F48+'VALOR POSTOS MÊS '!F62+(MAX(0,$C67-0.06*'VALOR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'!$D$149-$D67)</f>
        <v>8281.6094581818197</v>
      </c>
      <c r="G67" s="621">
        <f>(('VALOR POSTOS MÊS '!G40+('VALOR POSTOS MÊS '!G48+'VALOR POSTOS MÊS '!G62+(MAX(0,$C67-0.06*'VALOR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'!$D$149-$D67)</f>
        <v>10267.560367272728</v>
      </c>
      <c r="H67" s="621">
        <f>(('VALOR POSTOS MÊS '!H40+('VALOR POSTOS MÊS '!H48+'VALOR POSTOS MÊS '!H62+(MAX(0,$C67-0.06*'VALOR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'!$D$149-$D67)</f>
        <v>12184.771276363639</v>
      </c>
      <c r="I67" s="621">
        <f>(('VALOR POSTOS MÊS '!I40+('VALOR POSTOS MÊS '!I48+'VALOR POSTOS MÊS '!I62+(MAX(0,$C67-0.06*'VALOR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'!$D$149-$D67)</f>
        <v>15820.113094545455</v>
      </c>
      <c r="J67" s="621">
        <f>(('VALOR POSTOS MÊS '!J40+('VALOR POSTOS MÊS '!J48+'VALOR POSTOS MÊS '!J62+(MAX(0,$C67-0.06*'VALOR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'!$D$149-$D67)</f>
        <v>19964.125821818187</v>
      </c>
      <c r="K67" s="621">
        <f>(('VALOR POSTOS MÊS '!K40+('VALOR POSTOS MÊS '!K48+'VALOR POSTOS MÊS '!K62+(MAX(0,$C67-0.06*'VALOR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'!$D$149-$D67)</f>
        <v>10555.705821818183</v>
      </c>
      <c r="L67" s="621">
        <f>(('VALOR POSTOS MÊS '!L40+('VALOR POSTOS MÊS '!L48+'VALOR POSTOS MÊS '!L62+(MAX(0,$C67-0.06*'VALOR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'!$D$149-$D67)</f>
        <v>10285.696730909092</v>
      </c>
      <c r="M67" s="604">
        <f>'CADASTRO V-T e ISS'!H67</f>
        <v>0</v>
      </c>
      <c r="N67" s="604">
        <f>'CADASTRO V-T e ISS'!I67</f>
        <v>0</v>
      </c>
      <c r="O67" s="604">
        <f>'CADASTRO V-T e ISS'!J67</f>
        <v>0</v>
      </c>
      <c r="P67" s="604">
        <f>'CADASTRO V-T e ISS'!K67</f>
        <v>0</v>
      </c>
      <c r="Q67" s="604">
        <f>'CADASTRO V-T e ISS'!L67</f>
        <v>0</v>
      </c>
      <c r="R67" s="604">
        <f>'CADASTRO V-T e ISS'!M67</f>
        <v>0</v>
      </c>
      <c r="S67" s="604">
        <f>'CADASTRO V-T e ISS'!N67</f>
        <v>0</v>
      </c>
      <c r="T67" s="604">
        <f>'CADASTRO V-T e ISS'!O67</f>
        <v>0</v>
      </c>
      <c r="U67" s="608">
        <f t="shared" si="4"/>
        <v>0</v>
      </c>
      <c r="V67" s="608">
        <f t="shared" si="5"/>
        <v>0</v>
      </c>
      <c r="W67" s="608">
        <f t="shared" si="6"/>
        <v>0</v>
      </c>
      <c r="X67" s="608">
        <f t="shared" si="7"/>
        <v>0</v>
      </c>
    </row>
    <row r="68" spans="1:24">
      <c r="A68" s="604">
        <f>'CADASTRO V-T e ISS'!A68</f>
        <v>63</v>
      </c>
      <c r="B68" s="605" t="str">
        <f>'CADASTRO V-T e ISS'!B68</f>
        <v>Graça</v>
      </c>
      <c r="C68" s="606">
        <f>IF('CADASTRO V-T e ISS'!C68="SIM",'CADASTRO V-T e ISS'!D68*'CADASTRO V-T e ISS'!E68*'CADASTRO V-T e ISS'!F68,0)</f>
        <v>0</v>
      </c>
      <c r="D68" s="607">
        <f>'CADASTRO V-T e ISS'!G68</f>
        <v>0</v>
      </c>
      <c r="E68" s="621">
        <f>(('VALOR POSTOS MÊS '!E40+('VALOR POSTOS MÊS '!E48+'VALOR POSTOS MÊS '!E62+(MAX(0,$C68-0.06*'VALOR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'!$D$149-$D68)</f>
        <v>8428.8640036363649</v>
      </c>
      <c r="F68" s="621">
        <f>(('VALOR POSTOS MÊS '!F40+('VALOR POSTOS MÊS '!F48+'VALOR POSTOS MÊS '!F62+(MAX(0,$C68-0.06*'VALOR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'!$D$149-$D68)</f>
        <v>8281.6094581818197</v>
      </c>
      <c r="G68" s="621">
        <f>(('VALOR POSTOS MÊS '!G40+('VALOR POSTOS MÊS '!G48+'VALOR POSTOS MÊS '!G62+(MAX(0,$C68-0.06*'VALOR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'!$D$149-$D68)</f>
        <v>10267.560367272728</v>
      </c>
      <c r="H68" s="621">
        <f>(('VALOR POSTOS MÊS '!H40+('VALOR POSTOS MÊS '!H48+'VALOR POSTOS MÊS '!H62+(MAX(0,$C68-0.06*'VALOR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'!$D$149-$D68)</f>
        <v>12184.771276363639</v>
      </c>
      <c r="I68" s="621">
        <f>(('VALOR POSTOS MÊS '!I40+('VALOR POSTOS MÊS '!I48+'VALOR POSTOS MÊS '!I62+(MAX(0,$C68-0.06*'VALOR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'!$D$149-$D68)</f>
        <v>15820.113094545455</v>
      </c>
      <c r="J68" s="621">
        <f>(('VALOR POSTOS MÊS '!J40+('VALOR POSTOS MÊS '!J48+'VALOR POSTOS MÊS '!J62+(MAX(0,$C68-0.06*'VALOR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'!$D$149-$D68)</f>
        <v>19964.125821818187</v>
      </c>
      <c r="K68" s="621">
        <f>(('VALOR POSTOS MÊS '!K40+('VALOR POSTOS MÊS '!K48+'VALOR POSTOS MÊS '!K62+(MAX(0,$C68-0.06*'VALOR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'!$D$149-$D68)</f>
        <v>10555.705821818183</v>
      </c>
      <c r="L68" s="621">
        <f>(('VALOR POSTOS MÊS '!L40+('VALOR POSTOS MÊS '!L48+'VALOR POSTOS MÊS '!L62+(MAX(0,$C68-0.06*'VALOR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'!$D$149-$D68)</f>
        <v>10285.696730909092</v>
      </c>
      <c r="M68" s="604">
        <f>'CADASTRO V-T e ISS'!H68</f>
        <v>0</v>
      </c>
      <c r="N68" s="604">
        <f>'CADASTRO V-T e ISS'!I68</f>
        <v>0</v>
      </c>
      <c r="O68" s="604">
        <f>'CADASTRO V-T e ISS'!J68</f>
        <v>0</v>
      </c>
      <c r="P68" s="604">
        <f>'CADASTRO V-T e ISS'!K68</f>
        <v>0</v>
      </c>
      <c r="Q68" s="604">
        <f>'CADASTRO V-T e ISS'!L68</f>
        <v>0</v>
      </c>
      <c r="R68" s="604">
        <f>'CADASTRO V-T e ISS'!M68</f>
        <v>0</v>
      </c>
      <c r="S68" s="604">
        <f>'CADASTRO V-T e ISS'!N68</f>
        <v>0</v>
      </c>
      <c r="T68" s="604">
        <f>'CADASTRO V-T e ISS'!O68</f>
        <v>0</v>
      </c>
      <c r="U68" s="608">
        <f t="shared" si="4"/>
        <v>0</v>
      </c>
      <c r="V68" s="608">
        <f t="shared" si="5"/>
        <v>0</v>
      </c>
      <c r="W68" s="608">
        <f t="shared" si="6"/>
        <v>0</v>
      </c>
      <c r="X68" s="608">
        <f t="shared" si="7"/>
        <v>0</v>
      </c>
    </row>
    <row r="69" spans="1:24">
      <c r="A69" s="604">
        <f>'CADASTRO V-T e ISS'!A69</f>
        <v>64</v>
      </c>
      <c r="B69" s="605" t="str">
        <f>'CADASTRO V-T e ISS'!B69</f>
        <v>Granja</v>
      </c>
      <c r="C69" s="606">
        <f>IF('CADASTRO V-T e ISS'!C69="SIM",'CADASTRO V-T e ISS'!D69*'CADASTRO V-T e ISS'!E69*'CADASTRO V-T e ISS'!F69,0)</f>
        <v>0</v>
      </c>
      <c r="D69" s="607">
        <f>'CADASTRO V-T e ISS'!G69</f>
        <v>0</v>
      </c>
      <c r="E69" s="621">
        <f>(('VALOR POSTOS MÊS '!E40+('VALOR POSTOS MÊS '!E48+'VALOR POSTOS MÊS '!E62+(MAX(0,$C69-0.06*'VALOR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'!E62+(MAX(0,$C69-0.06*'VALOR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'!$D$149-$D69)</f>
        <v>8428.8640036363649</v>
      </c>
      <c r="F69" s="621">
        <f>(('VALOR POSTOS MÊS '!F40+('VALOR POSTOS MÊS '!F48+'VALOR POSTOS MÊS '!F62+(MAX(0,$C69-0.06*'VALOR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'!F62+(MAX(0,$C69-0.06*'VALOR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'!$D$149-$D69)</f>
        <v>8281.6094581818197</v>
      </c>
      <c r="G69" s="621">
        <f>(('VALOR POSTOS MÊS '!G40+('VALOR POSTOS MÊS '!G48+'VALOR POSTOS MÊS '!G62+(MAX(0,$C69-0.06*'VALOR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'!G62+(MAX(0,$C69-0.06*'VALOR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'!$D$149-$D69)</f>
        <v>10267.560367272728</v>
      </c>
      <c r="H69" s="621">
        <f>(('VALOR POSTOS MÊS '!H40+('VALOR POSTOS MÊS '!H48+'VALOR POSTOS MÊS '!H62+(MAX(0,$C69-0.06*'VALOR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'!H62+(MAX(0,$C69-0.06*'VALOR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'!$D$149-$D69)</f>
        <v>12184.771276363639</v>
      </c>
      <c r="I69" s="621">
        <f>(('VALOR POSTOS MÊS '!I40+('VALOR POSTOS MÊS '!I48+'VALOR POSTOS MÊS '!I62+(MAX(0,$C69-0.06*'VALOR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'!I62+(MAX(0,$C69-0.06*'VALOR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'!$D$149-$D69)</f>
        <v>15820.113094545455</v>
      </c>
      <c r="J69" s="621">
        <f>(('VALOR POSTOS MÊS '!J40+('VALOR POSTOS MÊS '!J48+'VALOR POSTOS MÊS '!J62+(MAX(0,$C69-0.06*'VALOR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'!J62+(MAX(0,$C69-0.06*'VALOR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'!$D$149-$D69)</f>
        <v>19964.125821818187</v>
      </c>
      <c r="K69" s="621">
        <f>(('VALOR POSTOS MÊS '!K40+('VALOR POSTOS MÊS '!K48+'VALOR POSTOS MÊS '!K62+(MAX(0,$C69-0.06*'VALOR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'!K62+(MAX(0,$C69-0.06*'VALOR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'!$D$149-$D69)</f>
        <v>10555.705821818183</v>
      </c>
      <c r="L69" s="621">
        <f>(('VALOR POSTOS MÊS '!L40+('VALOR POSTOS MÊS '!L48+'VALOR POSTOS MÊS '!L62+(MAX(0,$C69-0.06*'VALOR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'!L62+(MAX(0,$C69-0.06*'VALOR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'!$D$149-$D69)</f>
        <v>10285.696730909092</v>
      </c>
      <c r="M69" s="604">
        <f>'CADASTRO V-T e ISS'!H69</f>
        <v>1</v>
      </c>
      <c r="N69" s="604">
        <f>'CADASTRO V-T e ISS'!I69</f>
        <v>2</v>
      </c>
      <c r="O69" s="604">
        <f>'CADASTRO V-T e ISS'!J69</f>
        <v>0</v>
      </c>
      <c r="P69" s="604">
        <f>'CADASTRO V-T e ISS'!K69</f>
        <v>0</v>
      </c>
      <c r="Q69" s="604">
        <f>'CADASTRO V-T e ISS'!L69</f>
        <v>0</v>
      </c>
      <c r="R69" s="604">
        <f>'CADASTRO V-T e ISS'!M69</f>
        <v>0</v>
      </c>
      <c r="S69" s="604">
        <f>'CADASTRO V-T e ISS'!N69</f>
        <v>0</v>
      </c>
      <c r="T69" s="604">
        <f>'CADASTRO V-T e ISS'!O69</f>
        <v>0</v>
      </c>
      <c r="U69" s="608">
        <f t="shared" si="4"/>
        <v>24992.082920000004</v>
      </c>
      <c r="V69" s="608">
        <f t="shared" si="5"/>
        <v>499.84165840000009</v>
      </c>
      <c r="W69" s="608">
        <f t="shared" si="6"/>
        <v>25491.924578400005</v>
      </c>
      <c r="X69" s="608">
        <f t="shared" si="7"/>
        <v>611806.18988160009</v>
      </c>
    </row>
    <row r="70" spans="1:24">
      <c r="A70" s="604">
        <f>'CADASTRO V-T e ISS'!A70</f>
        <v>65</v>
      </c>
      <c r="B70" s="605" t="str">
        <f>'CADASTRO V-T e ISS'!B70</f>
        <v>Granjeiro</v>
      </c>
      <c r="C70" s="606">
        <f>IF('CADASTRO V-T e ISS'!C70="SIM",'CADASTRO V-T e ISS'!D70*'CADASTRO V-T e ISS'!E70*'CADASTRO V-T e ISS'!F70,0)</f>
        <v>0</v>
      </c>
      <c r="D70" s="607">
        <f>'CADASTRO V-T e ISS'!G70</f>
        <v>0</v>
      </c>
      <c r="E70" s="621">
        <f>(('VALOR POSTOS MÊS '!E40+('VALOR POSTOS MÊS '!E48+'VALOR POSTOS MÊS '!E62+(MAX(0,$C70-0.06*'VALOR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'!$D$149-$D70)</f>
        <v>8428.8640036363649</v>
      </c>
      <c r="F70" s="621">
        <f>(('VALOR POSTOS MÊS '!F40+('VALOR POSTOS MÊS '!F48+'VALOR POSTOS MÊS '!F62+(MAX(0,$C70-0.06*'VALOR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'!$D$149-$D70)</f>
        <v>8281.6094581818197</v>
      </c>
      <c r="G70" s="621">
        <f>(('VALOR POSTOS MÊS '!G40+('VALOR POSTOS MÊS '!G48+'VALOR POSTOS MÊS '!G62+(MAX(0,$C70-0.06*'VALOR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'!$D$149-$D70)</f>
        <v>10267.560367272728</v>
      </c>
      <c r="H70" s="621">
        <f>(('VALOR POSTOS MÊS '!H40+('VALOR POSTOS MÊS '!H48+'VALOR POSTOS MÊS '!H62+(MAX(0,$C70-0.06*'VALOR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'!$D$149-$D70)</f>
        <v>12184.771276363639</v>
      </c>
      <c r="I70" s="621">
        <f>(('VALOR POSTOS MÊS '!I40+('VALOR POSTOS MÊS '!I48+'VALOR POSTOS MÊS '!I62+(MAX(0,$C70-0.06*'VALOR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'!$D$149-$D70)</f>
        <v>15820.113094545455</v>
      </c>
      <c r="J70" s="621">
        <f>(('VALOR POSTOS MÊS '!J40+('VALOR POSTOS MÊS '!J48+'VALOR POSTOS MÊS '!J62+(MAX(0,$C70-0.06*'VALOR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'!$D$149-$D70)</f>
        <v>19964.125821818187</v>
      </c>
      <c r="K70" s="621">
        <f>(('VALOR POSTOS MÊS '!K40+('VALOR POSTOS MÊS '!K48+'VALOR POSTOS MÊS '!K62+(MAX(0,$C70-0.06*'VALOR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'!$D$149-$D70)</f>
        <v>10555.705821818183</v>
      </c>
      <c r="L70" s="621">
        <f>(('VALOR POSTOS MÊS '!L40+('VALOR POSTOS MÊS '!L48+'VALOR POSTOS MÊS '!L62+(MAX(0,$C70-0.06*'VALOR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'!$D$149-$D70)</f>
        <v>10285.696730909092</v>
      </c>
      <c r="M70" s="604">
        <f>'CADASTRO V-T e ISS'!H70</f>
        <v>0</v>
      </c>
      <c r="N70" s="604">
        <f>'CADASTRO V-T e ISS'!I70</f>
        <v>0</v>
      </c>
      <c r="O70" s="604">
        <f>'CADASTRO V-T e ISS'!J70</f>
        <v>0</v>
      </c>
      <c r="P70" s="604">
        <f>'CADASTRO V-T e ISS'!K70</f>
        <v>0</v>
      </c>
      <c r="Q70" s="604">
        <f>'CADASTRO V-T e ISS'!L70</f>
        <v>0</v>
      </c>
      <c r="R70" s="604">
        <f>'CADASTRO V-T e ISS'!M70</f>
        <v>0</v>
      </c>
      <c r="S70" s="604">
        <f>'CADASTRO V-T e ISS'!N70</f>
        <v>0</v>
      </c>
      <c r="T70" s="604">
        <f>'CADASTRO V-T e ISS'!O70</f>
        <v>0</v>
      </c>
      <c r="U70" s="608">
        <f t="shared" ref="U70:U101" si="8">SUMPRODUCT(E70:L70,M70:T70)</f>
        <v>0</v>
      </c>
      <c r="V70" s="608">
        <f t="shared" ref="V70:V101" si="9">U70*0.02</f>
        <v>0</v>
      </c>
      <c r="W70" s="608">
        <f t="shared" ref="W70:W101" si="10">U70+V70</f>
        <v>0</v>
      </c>
      <c r="X70" s="608">
        <f t="shared" ref="X70:X101" si="11">W70*24</f>
        <v>0</v>
      </c>
    </row>
    <row r="71" spans="1:24">
      <c r="A71" s="604">
        <f>'CADASTRO V-T e ISS'!A71</f>
        <v>66</v>
      </c>
      <c r="B71" s="605" t="str">
        <f>'CADASTRO V-T e ISS'!B71</f>
        <v>Groaíras</v>
      </c>
      <c r="C71" s="606">
        <f>IF('CADASTRO V-T e ISS'!C71="SIM",'CADASTRO V-T e ISS'!D71*'CADASTRO V-T e ISS'!E71*'CADASTRO V-T e ISS'!F71,0)</f>
        <v>0</v>
      </c>
      <c r="D71" s="607">
        <f>'CADASTRO V-T e ISS'!G71</f>
        <v>0</v>
      </c>
      <c r="E71" s="621">
        <f>(('VALOR POSTOS MÊS '!E40+('VALOR POSTOS MÊS '!E48+'VALOR POSTOS MÊS '!E62+(MAX(0,$C71-0.06*'VALOR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'!$D$149-$D71)</f>
        <v>8428.8640036363649</v>
      </c>
      <c r="F71" s="621">
        <f>(('VALOR POSTOS MÊS '!F40+('VALOR POSTOS MÊS '!F48+'VALOR POSTOS MÊS '!F62+(MAX(0,$C71-0.06*'VALOR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'!$D$149-$D71)</f>
        <v>8281.6094581818197</v>
      </c>
      <c r="G71" s="621">
        <f>(('VALOR POSTOS MÊS '!G40+('VALOR POSTOS MÊS '!G48+'VALOR POSTOS MÊS '!G62+(MAX(0,$C71-0.06*'VALOR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'!$D$149-$D71)</f>
        <v>10267.560367272728</v>
      </c>
      <c r="H71" s="621">
        <f>(('VALOR POSTOS MÊS '!H40+('VALOR POSTOS MÊS '!H48+'VALOR POSTOS MÊS '!H62+(MAX(0,$C71-0.06*'VALOR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'!$D$149-$D71)</f>
        <v>12184.771276363639</v>
      </c>
      <c r="I71" s="621">
        <f>(('VALOR POSTOS MÊS '!I40+('VALOR POSTOS MÊS '!I48+'VALOR POSTOS MÊS '!I62+(MAX(0,$C71-0.06*'VALOR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'!$D$149-$D71)</f>
        <v>15820.113094545455</v>
      </c>
      <c r="J71" s="621">
        <f>(('VALOR POSTOS MÊS '!J40+('VALOR POSTOS MÊS '!J48+'VALOR POSTOS MÊS '!J62+(MAX(0,$C71-0.06*'VALOR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'!$D$149-$D71)</f>
        <v>19964.125821818187</v>
      </c>
      <c r="K71" s="621">
        <f>(('VALOR POSTOS MÊS '!K40+('VALOR POSTOS MÊS '!K48+'VALOR POSTOS MÊS '!K62+(MAX(0,$C71-0.06*'VALOR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'!$D$149-$D71)</f>
        <v>10555.705821818183</v>
      </c>
      <c r="L71" s="621">
        <f>(('VALOR POSTOS MÊS '!L40+('VALOR POSTOS MÊS '!L48+'VALOR POSTOS MÊS '!L62+(MAX(0,$C71-0.06*'VALOR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'!$D$149-$D71)</f>
        <v>10285.696730909092</v>
      </c>
      <c r="M71" s="604">
        <f>'CADASTRO V-T e ISS'!H71</f>
        <v>0</v>
      </c>
      <c r="N71" s="604">
        <f>'CADASTRO V-T e ISS'!I71</f>
        <v>0</v>
      </c>
      <c r="O71" s="604">
        <f>'CADASTRO V-T e ISS'!J71</f>
        <v>0</v>
      </c>
      <c r="P71" s="604">
        <f>'CADASTRO V-T e ISS'!K71</f>
        <v>0</v>
      </c>
      <c r="Q71" s="604">
        <f>'CADASTRO V-T e ISS'!L71</f>
        <v>0</v>
      </c>
      <c r="R71" s="604">
        <f>'CADASTRO V-T e ISS'!M71</f>
        <v>0</v>
      </c>
      <c r="S71" s="604">
        <f>'CADASTRO V-T e ISS'!N71</f>
        <v>0</v>
      </c>
      <c r="T71" s="604">
        <f>'CADASTRO V-T e ISS'!O71</f>
        <v>0</v>
      </c>
      <c r="U71" s="608">
        <f t="shared" si="8"/>
        <v>0</v>
      </c>
      <c r="V71" s="608">
        <f t="shared" si="9"/>
        <v>0</v>
      </c>
      <c r="W71" s="608">
        <f t="shared" si="10"/>
        <v>0</v>
      </c>
      <c r="X71" s="608">
        <f t="shared" si="11"/>
        <v>0</v>
      </c>
    </row>
    <row r="72" spans="1:24">
      <c r="A72" s="604">
        <f>'CADASTRO V-T e ISS'!A72</f>
        <v>67</v>
      </c>
      <c r="B72" s="605" t="str">
        <f>'CADASTRO V-T e ISS'!B72</f>
        <v>Guaiúba</v>
      </c>
      <c r="C72" s="606">
        <f>IF('CADASTRO V-T e ISS'!C72="SIM",'CADASTRO V-T e ISS'!D72*'CADASTRO V-T e ISS'!E72*'CADASTRO V-T e ISS'!F72,0)</f>
        <v>0</v>
      </c>
      <c r="D72" s="607">
        <f>'CADASTRO V-T e ISS'!G72</f>
        <v>0</v>
      </c>
      <c r="E72" s="621">
        <f>(('VALOR POSTOS MÊS '!E40+('VALOR POSTOS MÊS '!E48+'VALOR POSTOS MÊS '!E62+(MAX(0,$C72-0.06*'VALOR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'!$D$149-$D72)</f>
        <v>8428.8640036363649</v>
      </c>
      <c r="F72" s="621">
        <f>(('VALOR POSTOS MÊS '!F40+('VALOR POSTOS MÊS '!F48+'VALOR POSTOS MÊS '!F62+(MAX(0,$C72-0.06*'VALOR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'!$D$149-$D72)</f>
        <v>8281.6094581818197</v>
      </c>
      <c r="G72" s="621">
        <f>(('VALOR POSTOS MÊS '!G40+('VALOR POSTOS MÊS '!G48+'VALOR POSTOS MÊS '!G62+(MAX(0,$C72-0.06*'VALOR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'!$D$149-$D72)</f>
        <v>10267.560367272728</v>
      </c>
      <c r="H72" s="621">
        <f>(('VALOR POSTOS MÊS '!H40+('VALOR POSTOS MÊS '!H48+'VALOR POSTOS MÊS '!H62+(MAX(0,$C72-0.06*'VALOR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'!$D$149-$D72)</f>
        <v>12184.771276363639</v>
      </c>
      <c r="I72" s="621">
        <f>(('VALOR POSTOS MÊS '!I40+('VALOR POSTOS MÊS '!I48+'VALOR POSTOS MÊS '!I62+(MAX(0,$C72-0.06*'VALOR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'!$D$149-$D72)</f>
        <v>15820.113094545455</v>
      </c>
      <c r="J72" s="621">
        <f>(('VALOR POSTOS MÊS '!J40+('VALOR POSTOS MÊS '!J48+'VALOR POSTOS MÊS '!J62+(MAX(0,$C72-0.06*'VALOR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'!$D$149-$D72)</f>
        <v>19964.125821818187</v>
      </c>
      <c r="K72" s="621">
        <f>(('VALOR POSTOS MÊS '!K40+('VALOR POSTOS MÊS '!K48+'VALOR POSTOS MÊS '!K62+(MAX(0,$C72-0.06*'VALOR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'!$D$149-$D72)</f>
        <v>10555.705821818183</v>
      </c>
      <c r="L72" s="621">
        <f>(('VALOR POSTOS MÊS '!L40+('VALOR POSTOS MÊS '!L48+'VALOR POSTOS MÊS '!L62+(MAX(0,$C72-0.06*'VALOR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'!$D$149-$D72)</f>
        <v>10285.696730909092</v>
      </c>
      <c r="M72" s="604">
        <f>'CADASTRO V-T e ISS'!H72</f>
        <v>0</v>
      </c>
      <c r="N72" s="604">
        <f>'CADASTRO V-T e ISS'!I72</f>
        <v>0</v>
      </c>
      <c r="O72" s="604">
        <f>'CADASTRO V-T e ISS'!J72</f>
        <v>0</v>
      </c>
      <c r="P72" s="604">
        <f>'CADASTRO V-T e ISS'!K72</f>
        <v>0</v>
      </c>
      <c r="Q72" s="604">
        <f>'CADASTRO V-T e ISS'!L72</f>
        <v>0</v>
      </c>
      <c r="R72" s="604">
        <f>'CADASTRO V-T e ISS'!M72</f>
        <v>0</v>
      </c>
      <c r="S72" s="604">
        <f>'CADASTRO V-T e ISS'!N72</f>
        <v>0</v>
      </c>
      <c r="T72" s="604">
        <f>'CADASTRO V-T e ISS'!O72</f>
        <v>0</v>
      </c>
      <c r="U72" s="608">
        <f t="shared" si="8"/>
        <v>0</v>
      </c>
      <c r="V72" s="608">
        <f t="shared" si="9"/>
        <v>0</v>
      </c>
      <c r="W72" s="608">
        <f t="shared" si="10"/>
        <v>0</v>
      </c>
      <c r="X72" s="608">
        <f t="shared" si="11"/>
        <v>0</v>
      </c>
    </row>
    <row r="73" spans="1:24">
      <c r="A73" s="604">
        <f>'CADASTRO V-T e ISS'!A73</f>
        <v>68</v>
      </c>
      <c r="B73" s="605" t="str">
        <f>'CADASTRO V-T e ISS'!B73</f>
        <v>Guaraciaba do Norte</v>
      </c>
      <c r="C73" s="606">
        <f>IF('CADASTRO V-T e ISS'!C73="SIM",'CADASTRO V-T e ISS'!D73*'CADASTRO V-T e ISS'!E73*'CADASTRO V-T e ISS'!F73,0)</f>
        <v>0</v>
      </c>
      <c r="D73" s="607">
        <f>'CADASTRO V-T e ISS'!G73</f>
        <v>0</v>
      </c>
      <c r="E73" s="621">
        <f>(('VALOR POSTOS MÊS '!E40+('VALOR POSTOS MÊS '!E48+'VALOR POSTOS MÊS '!E62+(MAX(0,$C73-0.06*'VALOR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'!$D$149-$D73)</f>
        <v>8428.8640036363649</v>
      </c>
      <c r="F73" s="621">
        <f>(('VALOR POSTOS MÊS '!F40+('VALOR POSTOS MÊS '!F48+'VALOR POSTOS MÊS '!F62+(MAX(0,$C73-0.06*'VALOR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'!$D$149-$D73)</f>
        <v>8281.6094581818197</v>
      </c>
      <c r="G73" s="621">
        <f>(('VALOR POSTOS MÊS '!G40+('VALOR POSTOS MÊS '!G48+'VALOR POSTOS MÊS '!G62+(MAX(0,$C73-0.06*'VALOR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'!$D$149-$D73)</f>
        <v>10267.560367272728</v>
      </c>
      <c r="H73" s="621">
        <f>(('VALOR POSTOS MÊS '!H40+('VALOR POSTOS MÊS '!H48+'VALOR POSTOS MÊS '!H62+(MAX(0,$C73-0.06*'VALOR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'!$D$149-$D73)</f>
        <v>12184.771276363639</v>
      </c>
      <c r="I73" s="621">
        <f>(('VALOR POSTOS MÊS '!I40+('VALOR POSTOS MÊS '!I48+'VALOR POSTOS MÊS '!I62+(MAX(0,$C73-0.06*'VALOR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'!$D$149-$D73)</f>
        <v>15820.113094545455</v>
      </c>
      <c r="J73" s="621">
        <f>(('VALOR POSTOS MÊS '!J40+('VALOR POSTOS MÊS '!J48+'VALOR POSTOS MÊS '!J62+(MAX(0,$C73-0.06*'VALOR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'!$D$149-$D73)</f>
        <v>19964.125821818187</v>
      </c>
      <c r="K73" s="621">
        <f>(('VALOR POSTOS MÊS '!K40+('VALOR POSTOS MÊS '!K48+'VALOR POSTOS MÊS '!K62+(MAX(0,$C73-0.06*'VALOR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'!$D$149-$D73)</f>
        <v>10555.705821818183</v>
      </c>
      <c r="L73" s="621">
        <f>(('VALOR POSTOS MÊS '!L40+('VALOR POSTOS MÊS '!L48+'VALOR POSTOS MÊS '!L62+(MAX(0,$C73-0.06*'VALOR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'!$D$149-$D73)</f>
        <v>10285.696730909092</v>
      </c>
      <c r="M73" s="604">
        <f>'CADASTRO V-T e ISS'!H73</f>
        <v>1</v>
      </c>
      <c r="N73" s="604">
        <f>'CADASTRO V-T e ISS'!I73</f>
        <v>2</v>
      </c>
      <c r="O73" s="604">
        <f>'CADASTRO V-T e ISS'!J73</f>
        <v>0</v>
      </c>
      <c r="P73" s="604">
        <f>'CADASTRO V-T e ISS'!K73</f>
        <v>0</v>
      </c>
      <c r="Q73" s="604">
        <f>'CADASTRO V-T e ISS'!L73</f>
        <v>0</v>
      </c>
      <c r="R73" s="604">
        <f>'CADASTRO V-T e ISS'!M73</f>
        <v>0</v>
      </c>
      <c r="S73" s="604">
        <f>'CADASTRO V-T e ISS'!N73</f>
        <v>0</v>
      </c>
      <c r="T73" s="604">
        <f>'CADASTRO V-T e ISS'!O73</f>
        <v>0</v>
      </c>
      <c r="U73" s="608">
        <f t="shared" si="8"/>
        <v>24992.082920000004</v>
      </c>
      <c r="V73" s="608">
        <f t="shared" si="9"/>
        <v>499.84165840000009</v>
      </c>
      <c r="W73" s="608">
        <f t="shared" si="10"/>
        <v>25491.924578400005</v>
      </c>
      <c r="X73" s="608">
        <f t="shared" si="11"/>
        <v>611806.18988160009</v>
      </c>
    </row>
    <row r="74" spans="1:24">
      <c r="A74" s="604">
        <f>'CADASTRO V-T e ISS'!A74</f>
        <v>69</v>
      </c>
      <c r="B74" s="605" t="str">
        <f>'CADASTRO V-T e ISS'!B74</f>
        <v>Guaramiranga</v>
      </c>
      <c r="C74" s="606">
        <f>IF('CADASTRO V-T e ISS'!C74="SIM",'CADASTRO V-T e ISS'!D74*'CADASTRO V-T e ISS'!E74*'CADASTRO V-T e ISS'!F74,0)</f>
        <v>0</v>
      </c>
      <c r="D74" s="607">
        <f>'CADASTRO V-T e ISS'!G74</f>
        <v>0</v>
      </c>
      <c r="E74" s="621">
        <f>(('VALOR POSTOS MÊS '!E40+('VALOR POSTOS MÊS '!E48+'VALOR POSTOS MÊS '!E62+(MAX(0,$C74-0.06*'VALOR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'!$D$149-$D74)</f>
        <v>8428.8640036363649</v>
      </c>
      <c r="F74" s="621">
        <f>(('VALOR POSTOS MÊS '!F40+('VALOR POSTOS MÊS '!F48+'VALOR POSTOS MÊS '!F62+(MAX(0,$C74-0.06*'VALOR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'!$D$149-$D74)</f>
        <v>8281.6094581818197</v>
      </c>
      <c r="G74" s="621">
        <f>(('VALOR POSTOS MÊS '!G40+('VALOR POSTOS MÊS '!G48+'VALOR POSTOS MÊS '!G62+(MAX(0,$C74-0.06*'VALOR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'!$D$149-$D74)</f>
        <v>10267.560367272728</v>
      </c>
      <c r="H74" s="621">
        <f>(('VALOR POSTOS MÊS '!H40+('VALOR POSTOS MÊS '!H48+'VALOR POSTOS MÊS '!H62+(MAX(0,$C74-0.06*'VALOR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'!$D$149-$D74)</f>
        <v>12184.771276363639</v>
      </c>
      <c r="I74" s="621">
        <f>(('VALOR POSTOS MÊS '!I40+('VALOR POSTOS MÊS '!I48+'VALOR POSTOS MÊS '!I62+(MAX(0,$C74-0.06*'VALOR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'!$D$149-$D74)</f>
        <v>15820.113094545455</v>
      </c>
      <c r="J74" s="621">
        <f>(('VALOR POSTOS MÊS '!J40+('VALOR POSTOS MÊS '!J48+'VALOR POSTOS MÊS '!J62+(MAX(0,$C74-0.06*'VALOR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'!$D$149-$D74)</f>
        <v>19964.125821818187</v>
      </c>
      <c r="K74" s="621">
        <f>(('VALOR POSTOS MÊS '!K40+('VALOR POSTOS MÊS '!K48+'VALOR POSTOS MÊS '!K62+(MAX(0,$C74-0.06*'VALOR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'!$D$149-$D74)</f>
        <v>10555.705821818183</v>
      </c>
      <c r="L74" s="621">
        <f>(('VALOR POSTOS MÊS '!L40+('VALOR POSTOS MÊS '!L48+'VALOR POSTOS MÊS '!L62+(MAX(0,$C74-0.06*'VALOR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'!$D$149-$D74)</f>
        <v>10285.696730909092</v>
      </c>
      <c r="M74" s="604">
        <f>'CADASTRO V-T e ISS'!H74</f>
        <v>0</v>
      </c>
      <c r="N74" s="604">
        <f>'CADASTRO V-T e ISS'!I74</f>
        <v>0</v>
      </c>
      <c r="O74" s="604">
        <f>'CADASTRO V-T e ISS'!J74</f>
        <v>0</v>
      </c>
      <c r="P74" s="604">
        <f>'CADASTRO V-T e ISS'!K74</f>
        <v>0</v>
      </c>
      <c r="Q74" s="604">
        <f>'CADASTRO V-T e ISS'!L74</f>
        <v>0</v>
      </c>
      <c r="R74" s="604">
        <f>'CADASTRO V-T e ISS'!M74</f>
        <v>0</v>
      </c>
      <c r="S74" s="604">
        <f>'CADASTRO V-T e ISS'!N74</f>
        <v>0</v>
      </c>
      <c r="T74" s="604">
        <f>'CADASTRO V-T e ISS'!O74</f>
        <v>0</v>
      </c>
      <c r="U74" s="608">
        <f t="shared" si="8"/>
        <v>0</v>
      </c>
      <c r="V74" s="608">
        <f t="shared" si="9"/>
        <v>0</v>
      </c>
      <c r="W74" s="608">
        <f t="shared" si="10"/>
        <v>0</v>
      </c>
      <c r="X74" s="608">
        <f t="shared" si="11"/>
        <v>0</v>
      </c>
    </row>
    <row r="75" spans="1:24">
      <c r="A75" s="604">
        <f>'CADASTRO V-T e ISS'!A75</f>
        <v>70</v>
      </c>
      <c r="B75" s="605" t="str">
        <f>'CADASTRO V-T e ISS'!B75</f>
        <v>Hidrolândia</v>
      </c>
      <c r="C75" s="606">
        <f>IF('CADASTRO V-T e ISS'!C75="SIM",'CADASTRO V-T e ISS'!D75*'CADASTRO V-T e ISS'!E75*'CADASTRO V-T e ISS'!F75,0)</f>
        <v>0</v>
      </c>
      <c r="D75" s="607">
        <f>'CADASTRO V-T e ISS'!G75</f>
        <v>0</v>
      </c>
      <c r="E75" s="621">
        <f>(('VALOR POSTOS MÊS '!E40+('VALOR POSTOS MÊS '!E48+'VALOR POSTOS MÊS '!E62+(MAX(0,$C75-0.06*'VALOR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'!$D$149-$D75)</f>
        <v>8428.8640036363649</v>
      </c>
      <c r="F75" s="621">
        <f>(('VALOR POSTOS MÊS '!F40+('VALOR POSTOS MÊS '!F48+'VALOR POSTOS MÊS '!F62+(MAX(0,$C75-0.06*'VALOR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'!$D$149-$D75)</f>
        <v>8281.6094581818197</v>
      </c>
      <c r="G75" s="621">
        <f>(('VALOR POSTOS MÊS '!G40+('VALOR POSTOS MÊS '!G48+'VALOR POSTOS MÊS '!G62+(MAX(0,$C75-0.06*'VALOR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'!$D$149-$D75)</f>
        <v>10267.560367272728</v>
      </c>
      <c r="H75" s="621">
        <f>(('VALOR POSTOS MÊS '!H40+('VALOR POSTOS MÊS '!H48+'VALOR POSTOS MÊS '!H62+(MAX(0,$C75-0.06*'VALOR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'!$D$149-$D75)</f>
        <v>12184.771276363639</v>
      </c>
      <c r="I75" s="621">
        <f>(('VALOR POSTOS MÊS '!I40+('VALOR POSTOS MÊS '!I48+'VALOR POSTOS MÊS '!I62+(MAX(0,$C75-0.06*'VALOR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'!$D$149-$D75)</f>
        <v>15820.113094545455</v>
      </c>
      <c r="J75" s="621">
        <f>(('VALOR POSTOS MÊS '!J40+('VALOR POSTOS MÊS '!J48+'VALOR POSTOS MÊS '!J62+(MAX(0,$C75-0.06*'VALOR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'!$D$149-$D75)</f>
        <v>19964.125821818187</v>
      </c>
      <c r="K75" s="621">
        <f>(('VALOR POSTOS MÊS '!K40+('VALOR POSTOS MÊS '!K48+'VALOR POSTOS MÊS '!K62+(MAX(0,$C75-0.06*'VALOR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'!$D$149-$D75)</f>
        <v>10555.705821818183</v>
      </c>
      <c r="L75" s="621">
        <f>(('VALOR POSTOS MÊS '!L40+('VALOR POSTOS MÊS '!L48+'VALOR POSTOS MÊS '!L62+(MAX(0,$C75-0.06*'VALOR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'!$D$149-$D75)</f>
        <v>10285.696730909092</v>
      </c>
      <c r="M75" s="604">
        <f>'CADASTRO V-T e ISS'!H75</f>
        <v>0</v>
      </c>
      <c r="N75" s="604">
        <f>'CADASTRO V-T e ISS'!I75</f>
        <v>0</v>
      </c>
      <c r="O75" s="604">
        <f>'CADASTRO V-T e ISS'!J75</f>
        <v>0</v>
      </c>
      <c r="P75" s="604">
        <f>'CADASTRO V-T e ISS'!K75</f>
        <v>0</v>
      </c>
      <c r="Q75" s="604">
        <f>'CADASTRO V-T e ISS'!L75</f>
        <v>0</v>
      </c>
      <c r="R75" s="604">
        <f>'CADASTRO V-T e ISS'!M75</f>
        <v>0</v>
      </c>
      <c r="S75" s="604">
        <f>'CADASTRO V-T e ISS'!N75</f>
        <v>0</v>
      </c>
      <c r="T75" s="604">
        <f>'CADASTRO V-T e ISS'!O75</f>
        <v>0</v>
      </c>
      <c r="U75" s="608">
        <f t="shared" si="8"/>
        <v>0</v>
      </c>
      <c r="V75" s="608">
        <f t="shared" si="9"/>
        <v>0</v>
      </c>
      <c r="W75" s="608">
        <f t="shared" si="10"/>
        <v>0</v>
      </c>
      <c r="X75" s="608">
        <f t="shared" si="11"/>
        <v>0</v>
      </c>
    </row>
    <row r="76" spans="1:24">
      <c r="A76" s="604">
        <f>'CADASTRO V-T e ISS'!A76</f>
        <v>71</v>
      </c>
      <c r="B76" s="605" t="str">
        <f>'CADASTRO V-T e ISS'!B76</f>
        <v>Horizonte</v>
      </c>
      <c r="C76" s="606">
        <f>IF('CADASTRO V-T e ISS'!C76="SIM",'CADASTRO V-T e ISS'!D76*'CADASTRO V-T e ISS'!E76*'CADASTRO V-T e ISS'!F76,0)</f>
        <v>0</v>
      </c>
      <c r="D76" s="607">
        <f>'CADASTRO V-T e ISS'!G76</f>
        <v>0</v>
      </c>
      <c r="E76" s="621">
        <f>(('VALOR POSTOS MÊS '!E40+('VALOR POSTOS MÊS '!E48+'VALOR POSTOS MÊS '!E62+(MAX(0,$C76-0.06*'VALOR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'!$D$149-$D76)</f>
        <v>8428.8640036363649</v>
      </c>
      <c r="F76" s="621">
        <f>(('VALOR POSTOS MÊS '!F40+('VALOR POSTOS MÊS '!F48+'VALOR POSTOS MÊS '!F62+(MAX(0,$C76-0.06*'VALOR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'!$D$149-$D76)</f>
        <v>8281.6094581818197</v>
      </c>
      <c r="G76" s="621">
        <f>(('VALOR POSTOS MÊS '!G40+('VALOR POSTOS MÊS '!G48+'VALOR POSTOS MÊS '!G62+(MAX(0,$C76-0.06*'VALOR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'!$D$149-$D76)</f>
        <v>10267.560367272728</v>
      </c>
      <c r="H76" s="621">
        <f>(('VALOR POSTOS MÊS '!H40+('VALOR POSTOS MÊS '!H48+'VALOR POSTOS MÊS '!H62+(MAX(0,$C76-0.06*'VALOR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'!$D$149-$D76)</f>
        <v>12184.771276363639</v>
      </c>
      <c r="I76" s="621">
        <f>(('VALOR POSTOS MÊS '!I40+('VALOR POSTOS MÊS '!I48+'VALOR POSTOS MÊS '!I62+(MAX(0,$C76-0.06*'VALOR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'!$D$149-$D76)</f>
        <v>15820.113094545455</v>
      </c>
      <c r="J76" s="621">
        <f>(('VALOR POSTOS MÊS '!J40+('VALOR POSTOS MÊS '!J48+'VALOR POSTOS MÊS '!J62+(MAX(0,$C76-0.06*'VALOR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'!$D$149-$D76)</f>
        <v>19964.125821818187</v>
      </c>
      <c r="K76" s="621">
        <f>(('VALOR POSTOS MÊS '!K40+('VALOR POSTOS MÊS '!K48+'VALOR POSTOS MÊS '!K62+(MAX(0,$C76-0.06*'VALOR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'!$D$149-$D76)</f>
        <v>10555.705821818183</v>
      </c>
      <c r="L76" s="621">
        <f>(('VALOR POSTOS MÊS '!L40+('VALOR POSTOS MÊS '!L48+'VALOR POSTOS MÊS '!L62+(MAX(0,$C76-0.06*'VALOR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'!$D$149-$D76)</f>
        <v>10285.696730909092</v>
      </c>
      <c r="M76" s="604">
        <f>'CADASTRO V-T e ISS'!H76</f>
        <v>1</v>
      </c>
      <c r="N76" s="604">
        <f>'CADASTRO V-T e ISS'!I76</f>
        <v>2</v>
      </c>
      <c r="O76" s="604">
        <f>'CADASTRO V-T e ISS'!J76</f>
        <v>0</v>
      </c>
      <c r="P76" s="604">
        <f>'CADASTRO V-T e ISS'!K76</f>
        <v>0</v>
      </c>
      <c r="Q76" s="604">
        <f>'CADASTRO V-T e ISS'!L76</f>
        <v>0</v>
      </c>
      <c r="R76" s="604">
        <f>'CADASTRO V-T e ISS'!M76</f>
        <v>0</v>
      </c>
      <c r="S76" s="604">
        <f>'CADASTRO V-T e ISS'!N76</f>
        <v>0</v>
      </c>
      <c r="T76" s="604">
        <f>'CADASTRO V-T e ISS'!O76</f>
        <v>0</v>
      </c>
      <c r="U76" s="608">
        <f t="shared" si="8"/>
        <v>24992.082920000004</v>
      </c>
      <c r="V76" s="608">
        <f t="shared" si="9"/>
        <v>499.84165840000009</v>
      </c>
      <c r="W76" s="608">
        <f t="shared" si="10"/>
        <v>25491.924578400005</v>
      </c>
      <c r="X76" s="608">
        <f t="shared" si="11"/>
        <v>611806.18988160009</v>
      </c>
    </row>
    <row r="77" spans="1:24">
      <c r="A77" s="604">
        <f>'CADASTRO V-T e ISS'!A77</f>
        <v>72</v>
      </c>
      <c r="B77" s="605" t="str">
        <f>'CADASTRO V-T e ISS'!B77</f>
        <v>Ibaretama</v>
      </c>
      <c r="C77" s="606">
        <f>IF('CADASTRO V-T e ISS'!C77="SIM",'CADASTRO V-T e ISS'!D77*'CADASTRO V-T e ISS'!E77*'CADASTRO V-T e ISS'!F77,0)</f>
        <v>0</v>
      </c>
      <c r="D77" s="607">
        <f>'CADASTRO V-T e ISS'!G77</f>
        <v>0</v>
      </c>
      <c r="E77" s="621">
        <f>(('VALOR POSTOS MÊS '!E40+('VALOR POSTOS MÊS '!E48+'VALOR POSTOS MÊS '!E62+(MAX(0,$C77-0.06*'VALOR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'!$D$149-$D77)</f>
        <v>8428.8640036363649</v>
      </c>
      <c r="F77" s="621">
        <f>(('VALOR POSTOS MÊS '!F40+('VALOR POSTOS MÊS '!F48+'VALOR POSTOS MÊS '!F62+(MAX(0,$C77-0.06*'VALOR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'!$D$149-$D77)</f>
        <v>8281.6094581818197</v>
      </c>
      <c r="G77" s="621">
        <f>(('VALOR POSTOS MÊS '!G40+('VALOR POSTOS MÊS '!G48+'VALOR POSTOS MÊS '!G62+(MAX(0,$C77-0.06*'VALOR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'!$D$149-$D77)</f>
        <v>10267.560367272728</v>
      </c>
      <c r="H77" s="621">
        <f>(('VALOR POSTOS MÊS '!H40+('VALOR POSTOS MÊS '!H48+'VALOR POSTOS MÊS '!H62+(MAX(0,$C77-0.06*'VALOR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'!$D$149-$D77)</f>
        <v>12184.771276363639</v>
      </c>
      <c r="I77" s="621">
        <f>(('VALOR POSTOS MÊS '!I40+('VALOR POSTOS MÊS '!I48+'VALOR POSTOS MÊS '!I62+(MAX(0,$C77-0.06*'VALOR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'!$D$149-$D77)</f>
        <v>15820.113094545455</v>
      </c>
      <c r="J77" s="621">
        <f>(('VALOR POSTOS MÊS '!J40+('VALOR POSTOS MÊS '!J48+'VALOR POSTOS MÊS '!J62+(MAX(0,$C77-0.06*'VALOR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'!$D$149-$D77)</f>
        <v>19964.125821818187</v>
      </c>
      <c r="K77" s="621">
        <f>(('VALOR POSTOS MÊS '!K40+('VALOR POSTOS MÊS '!K48+'VALOR POSTOS MÊS '!K62+(MAX(0,$C77-0.06*'VALOR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'!$D$149-$D77)</f>
        <v>10555.705821818183</v>
      </c>
      <c r="L77" s="621">
        <f>(('VALOR POSTOS MÊS '!L40+('VALOR POSTOS MÊS '!L48+'VALOR POSTOS MÊS '!L62+(MAX(0,$C77-0.06*'VALOR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'!$D$149-$D77)</f>
        <v>10285.696730909092</v>
      </c>
      <c r="M77" s="604">
        <f>'CADASTRO V-T e ISS'!H77</f>
        <v>0</v>
      </c>
      <c r="N77" s="604">
        <f>'CADASTRO V-T e ISS'!I77</f>
        <v>0</v>
      </c>
      <c r="O77" s="604">
        <f>'CADASTRO V-T e ISS'!J77</f>
        <v>0</v>
      </c>
      <c r="P77" s="604">
        <f>'CADASTRO V-T e ISS'!K77</f>
        <v>0</v>
      </c>
      <c r="Q77" s="604">
        <f>'CADASTRO V-T e ISS'!L77</f>
        <v>0</v>
      </c>
      <c r="R77" s="604">
        <f>'CADASTRO V-T e ISS'!M77</f>
        <v>0</v>
      </c>
      <c r="S77" s="604">
        <f>'CADASTRO V-T e ISS'!N77</f>
        <v>0</v>
      </c>
      <c r="T77" s="604">
        <f>'CADASTRO V-T e ISS'!O77</f>
        <v>0</v>
      </c>
      <c r="U77" s="608">
        <f t="shared" si="8"/>
        <v>0</v>
      </c>
      <c r="V77" s="608">
        <f t="shared" si="9"/>
        <v>0</v>
      </c>
      <c r="W77" s="608">
        <f t="shared" si="10"/>
        <v>0</v>
      </c>
      <c r="X77" s="608">
        <f t="shared" si="11"/>
        <v>0</v>
      </c>
    </row>
    <row r="78" spans="1:24">
      <c r="A78" s="604">
        <f>'CADASTRO V-T e ISS'!A78</f>
        <v>73</v>
      </c>
      <c r="B78" s="605" t="str">
        <f>'CADASTRO V-T e ISS'!B78</f>
        <v>Ibiapina</v>
      </c>
      <c r="C78" s="606">
        <f>IF('CADASTRO V-T e ISS'!C78="SIM",'CADASTRO V-T e ISS'!D78*'CADASTRO V-T e ISS'!E78*'CADASTRO V-T e ISS'!F78,0)</f>
        <v>0</v>
      </c>
      <c r="D78" s="607">
        <f>'CADASTRO V-T e ISS'!G78</f>
        <v>0</v>
      </c>
      <c r="E78" s="621">
        <f>(('VALOR POSTOS MÊS '!E40+('VALOR POSTOS MÊS '!E48+'VALOR POSTOS MÊS '!E62+(MAX(0,$C78-0.06*'VALOR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'!$D$149-$D78)</f>
        <v>8428.8640036363649</v>
      </c>
      <c r="F78" s="621">
        <f>(('VALOR POSTOS MÊS '!F40+('VALOR POSTOS MÊS '!F48+'VALOR POSTOS MÊS '!F62+(MAX(0,$C78-0.06*'VALOR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'!$D$149-$D78)</f>
        <v>8281.6094581818197</v>
      </c>
      <c r="G78" s="621">
        <f>(('VALOR POSTOS MÊS '!G40+('VALOR POSTOS MÊS '!G48+'VALOR POSTOS MÊS '!G62+(MAX(0,$C78-0.06*'VALOR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'!$D$149-$D78)</f>
        <v>10267.560367272728</v>
      </c>
      <c r="H78" s="621">
        <f>(('VALOR POSTOS MÊS '!H40+('VALOR POSTOS MÊS '!H48+'VALOR POSTOS MÊS '!H62+(MAX(0,$C78-0.06*'VALOR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'!$D$149-$D78)</f>
        <v>12184.771276363639</v>
      </c>
      <c r="I78" s="621">
        <f>(('VALOR POSTOS MÊS '!I40+('VALOR POSTOS MÊS '!I48+'VALOR POSTOS MÊS '!I62+(MAX(0,$C78-0.06*'VALOR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'!$D$149-$D78)</f>
        <v>15820.113094545455</v>
      </c>
      <c r="J78" s="621">
        <f>(('VALOR POSTOS MÊS '!J40+('VALOR POSTOS MÊS '!J48+'VALOR POSTOS MÊS '!J62+(MAX(0,$C78-0.06*'VALOR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'!$D$149-$D78)</f>
        <v>19964.125821818187</v>
      </c>
      <c r="K78" s="621">
        <f>(('VALOR POSTOS MÊS '!K40+('VALOR POSTOS MÊS '!K48+'VALOR POSTOS MÊS '!K62+(MAX(0,$C78-0.06*'VALOR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'!$D$149-$D78)</f>
        <v>10555.705821818183</v>
      </c>
      <c r="L78" s="621">
        <f>(('VALOR POSTOS MÊS '!L40+('VALOR POSTOS MÊS '!L48+'VALOR POSTOS MÊS '!L62+(MAX(0,$C78-0.06*'VALOR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'!$D$149-$D78)</f>
        <v>10285.696730909092</v>
      </c>
      <c r="M78" s="604">
        <f>'CADASTRO V-T e ISS'!H78</f>
        <v>1</v>
      </c>
      <c r="N78" s="604">
        <f>'CADASTRO V-T e ISS'!I78</f>
        <v>1</v>
      </c>
      <c r="O78" s="604">
        <f>'CADASTRO V-T e ISS'!J78</f>
        <v>0</v>
      </c>
      <c r="P78" s="604">
        <f>'CADASTRO V-T e ISS'!K78</f>
        <v>0</v>
      </c>
      <c r="Q78" s="604">
        <f>'CADASTRO V-T e ISS'!L78</f>
        <v>0</v>
      </c>
      <c r="R78" s="604">
        <f>'CADASTRO V-T e ISS'!M78</f>
        <v>0</v>
      </c>
      <c r="S78" s="604">
        <f>'CADASTRO V-T e ISS'!N78</f>
        <v>0</v>
      </c>
      <c r="T78" s="604">
        <f>'CADASTRO V-T e ISS'!O78</f>
        <v>0</v>
      </c>
      <c r="U78" s="608">
        <f t="shared" si="8"/>
        <v>16710.473461818183</v>
      </c>
      <c r="V78" s="608">
        <f t="shared" si="9"/>
        <v>334.20946923636365</v>
      </c>
      <c r="W78" s="608">
        <f t="shared" si="10"/>
        <v>17044.682931054547</v>
      </c>
      <c r="X78" s="608">
        <f t="shared" si="11"/>
        <v>409072.39034530916</v>
      </c>
    </row>
    <row r="79" spans="1:24">
      <c r="A79" s="604">
        <f>'CADASTRO V-T e ISS'!A79</f>
        <v>74</v>
      </c>
      <c r="B79" s="605" t="str">
        <f>'CADASTRO V-T e ISS'!B79</f>
        <v>Ibicuitinga</v>
      </c>
      <c r="C79" s="606">
        <f>IF('CADASTRO V-T e ISS'!C79="SIM",'CADASTRO V-T e ISS'!D79*'CADASTRO V-T e ISS'!E79*'CADASTRO V-T e ISS'!F79,0)</f>
        <v>0</v>
      </c>
      <c r="D79" s="607">
        <f>'CADASTRO V-T e ISS'!G79</f>
        <v>0</v>
      </c>
      <c r="E79" s="621">
        <f>(('VALOR POSTOS MÊS '!E40+('VALOR POSTOS MÊS '!E48+'VALOR POSTOS MÊS '!E62+(MAX(0,$C79-0.06*'VALOR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'!E62+(MAX(0,$C79-0.06*'VALOR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'!$D$149-$D79)</f>
        <v>8428.8640036363649</v>
      </c>
      <c r="F79" s="621">
        <f>(('VALOR POSTOS MÊS '!F40+('VALOR POSTOS MÊS '!F48+'VALOR POSTOS MÊS '!F62+(MAX(0,$C79-0.06*'VALOR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'!F62+(MAX(0,$C79-0.06*'VALOR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'!$D$149-$D79)</f>
        <v>8281.6094581818197</v>
      </c>
      <c r="G79" s="621">
        <f>(('VALOR POSTOS MÊS '!G40+('VALOR POSTOS MÊS '!G48+'VALOR POSTOS MÊS '!G62+(MAX(0,$C79-0.06*'VALOR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'!G62+(MAX(0,$C79-0.06*'VALOR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'!$D$149-$D79)</f>
        <v>10267.560367272728</v>
      </c>
      <c r="H79" s="621">
        <f>(('VALOR POSTOS MÊS '!H40+('VALOR POSTOS MÊS '!H48+'VALOR POSTOS MÊS '!H62+(MAX(0,$C79-0.06*'VALOR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'!H62+(MAX(0,$C79-0.06*'VALOR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'!$D$149-$D79)</f>
        <v>12184.771276363639</v>
      </c>
      <c r="I79" s="621">
        <f>(('VALOR POSTOS MÊS '!I40+('VALOR POSTOS MÊS '!I48+'VALOR POSTOS MÊS '!I62+(MAX(0,$C79-0.06*'VALOR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'!I62+(MAX(0,$C79-0.06*'VALOR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'!$D$149-$D79)</f>
        <v>15820.113094545455</v>
      </c>
      <c r="J79" s="621">
        <f>(('VALOR POSTOS MÊS '!J40+('VALOR POSTOS MÊS '!J48+'VALOR POSTOS MÊS '!J62+(MAX(0,$C79-0.06*'VALOR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'!J62+(MAX(0,$C79-0.06*'VALOR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'!$D$149-$D79)</f>
        <v>19964.125821818187</v>
      </c>
      <c r="K79" s="621">
        <f>(('VALOR POSTOS MÊS '!K40+('VALOR POSTOS MÊS '!K48+'VALOR POSTOS MÊS '!K62+(MAX(0,$C79-0.06*'VALOR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'!K62+(MAX(0,$C79-0.06*'VALOR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'!$D$149-$D79)</f>
        <v>10555.705821818183</v>
      </c>
      <c r="L79" s="621">
        <f>(('VALOR POSTOS MÊS '!L40+('VALOR POSTOS MÊS '!L48+'VALOR POSTOS MÊS '!L62+(MAX(0,$C79-0.06*'VALOR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'!L62+(MAX(0,$C79-0.06*'VALOR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'!$D$149-$D79)</f>
        <v>10285.696730909092</v>
      </c>
      <c r="M79" s="604">
        <f>'CADASTRO V-T e ISS'!H79</f>
        <v>0</v>
      </c>
      <c r="N79" s="604">
        <f>'CADASTRO V-T e ISS'!I79</f>
        <v>0</v>
      </c>
      <c r="O79" s="604">
        <f>'CADASTRO V-T e ISS'!J79</f>
        <v>0</v>
      </c>
      <c r="P79" s="604">
        <f>'CADASTRO V-T e ISS'!K79</f>
        <v>0</v>
      </c>
      <c r="Q79" s="604">
        <f>'CADASTRO V-T e ISS'!L79</f>
        <v>0</v>
      </c>
      <c r="R79" s="604">
        <f>'CADASTRO V-T e ISS'!M79</f>
        <v>0</v>
      </c>
      <c r="S79" s="604">
        <f>'CADASTRO V-T e ISS'!N79</f>
        <v>0</v>
      </c>
      <c r="T79" s="604">
        <f>'CADASTRO V-T e ISS'!O79</f>
        <v>0</v>
      </c>
      <c r="U79" s="608">
        <f t="shared" si="8"/>
        <v>0</v>
      </c>
      <c r="V79" s="608">
        <f t="shared" si="9"/>
        <v>0</v>
      </c>
      <c r="W79" s="608">
        <f t="shared" si="10"/>
        <v>0</v>
      </c>
      <c r="X79" s="608">
        <f t="shared" si="11"/>
        <v>0</v>
      </c>
    </row>
    <row r="80" spans="1:24">
      <c r="A80" s="604">
        <f>'CADASTRO V-T e ISS'!A80</f>
        <v>75</v>
      </c>
      <c r="B80" s="605" t="str">
        <f>'CADASTRO V-T e ISS'!B80</f>
        <v>Icapuí</v>
      </c>
      <c r="C80" s="606">
        <f>IF('CADASTRO V-T e ISS'!C80="SIM",'CADASTRO V-T e ISS'!D80*'CADASTRO V-T e ISS'!E80*'CADASTRO V-T e ISS'!F80,0)</f>
        <v>0</v>
      </c>
      <c r="D80" s="607">
        <f>'CADASTRO V-T e ISS'!G80</f>
        <v>0</v>
      </c>
      <c r="E80" s="621">
        <f>(('VALOR POSTOS MÊS '!E40+('VALOR POSTOS MÊS '!E48+'VALOR POSTOS MÊS '!E62+(MAX(0,$C80-0.06*'VALOR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'!$D$149-$D80)</f>
        <v>8428.8640036363649</v>
      </c>
      <c r="F80" s="621">
        <f>(('VALOR POSTOS MÊS '!F40+('VALOR POSTOS MÊS '!F48+'VALOR POSTOS MÊS '!F62+(MAX(0,$C80-0.06*'VALOR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'!$D$149-$D80)</f>
        <v>8281.6094581818197</v>
      </c>
      <c r="G80" s="621">
        <f>(('VALOR POSTOS MÊS '!G40+('VALOR POSTOS MÊS '!G48+'VALOR POSTOS MÊS '!G62+(MAX(0,$C80-0.06*'VALOR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'!$D$149-$D80)</f>
        <v>10267.560367272728</v>
      </c>
      <c r="H80" s="621">
        <f>(('VALOR POSTOS MÊS '!H40+('VALOR POSTOS MÊS '!H48+'VALOR POSTOS MÊS '!H62+(MAX(0,$C80-0.06*'VALOR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'!$D$149-$D80)</f>
        <v>12184.771276363639</v>
      </c>
      <c r="I80" s="621">
        <f>(('VALOR POSTOS MÊS '!I40+('VALOR POSTOS MÊS '!I48+'VALOR POSTOS MÊS '!I62+(MAX(0,$C80-0.06*'VALOR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'!$D$149-$D80)</f>
        <v>15820.113094545455</v>
      </c>
      <c r="J80" s="621">
        <f>(('VALOR POSTOS MÊS '!J40+('VALOR POSTOS MÊS '!J48+'VALOR POSTOS MÊS '!J62+(MAX(0,$C80-0.06*'VALOR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'!$D$149-$D80)</f>
        <v>19964.125821818187</v>
      </c>
      <c r="K80" s="621">
        <f>(('VALOR POSTOS MÊS '!K40+('VALOR POSTOS MÊS '!K48+'VALOR POSTOS MÊS '!K62+(MAX(0,$C80-0.06*'VALOR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'!$D$149-$D80)</f>
        <v>10555.705821818183</v>
      </c>
      <c r="L80" s="621">
        <f>(('VALOR POSTOS MÊS '!L40+('VALOR POSTOS MÊS '!L48+'VALOR POSTOS MÊS '!L62+(MAX(0,$C80-0.06*'VALOR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'!$D$149-$D80)</f>
        <v>10285.696730909092</v>
      </c>
      <c r="M80" s="604">
        <f>'CADASTRO V-T e ISS'!H80</f>
        <v>0</v>
      </c>
      <c r="N80" s="604">
        <f>'CADASTRO V-T e ISS'!I80</f>
        <v>0</v>
      </c>
      <c r="O80" s="604">
        <f>'CADASTRO V-T e ISS'!J80</f>
        <v>0</v>
      </c>
      <c r="P80" s="604">
        <f>'CADASTRO V-T e ISS'!K80</f>
        <v>0</v>
      </c>
      <c r="Q80" s="604">
        <f>'CADASTRO V-T e ISS'!L80</f>
        <v>0</v>
      </c>
      <c r="R80" s="604">
        <f>'CADASTRO V-T e ISS'!M80</f>
        <v>0</v>
      </c>
      <c r="S80" s="604">
        <f>'CADASTRO V-T e ISS'!N80</f>
        <v>0</v>
      </c>
      <c r="T80" s="604">
        <f>'CADASTRO V-T e ISS'!O80</f>
        <v>0</v>
      </c>
      <c r="U80" s="608">
        <f t="shared" si="8"/>
        <v>0</v>
      </c>
      <c r="V80" s="608">
        <f t="shared" si="9"/>
        <v>0</v>
      </c>
      <c r="W80" s="608">
        <f t="shared" si="10"/>
        <v>0</v>
      </c>
      <c r="X80" s="608">
        <f t="shared" si="11"/>
        <v>0</v>
      </c>
    </row>
    <row r="81" spans="1:24">
      <c r="A81" s="604">
        <f>'CADASTRO V-T e ISS'!A81</f>
        <v>76</v>
      </c>
      <c r="B81" s="605" t="str">
        <f>'CADASTRO V-T e ISS'!B81</f>
        <v>Icó</v>
      </c>
      <c r="C81" s="606">
        <f>IF('CADASTRO V-T e ISS'!C81="SIM",'CADASTRO V-T e ISS'!D81*'CADASTRO V-T e ISS'!E81*'CADASTRO V-T e ISS'!F81,0)</f>
        <v>0</v>
      </c>
      <c r="D81" s="607">
        <f>'CADASTRO V-T e ISS'!G81</f>
        <v>0</v>
      </c>
      <c r="E81" s="621">
        <f>(('VALOR POSTOS MÊS '!E40+('VALOR POSTOS MÊS '!E48+'VALOR POSTOS MÊS '!E62+(MAX(0,$C81-0.06*'VALOR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'!$D$149-$D81)</f>
        <v>8428.8640036363649</v>
      </c>
      <c r="F81" s="621">
        <f>(('VALOR POSTOS MÊS '!F40+('VALOR POSTOS MÊS '!F48+'VALOR POSTOS MÊS '!F62+(MAX(0,$C81-0.06*'VALOR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'!$D$149-$D81)</f>
        <v>8281.6094581818197</v>
      </c>
      <c r="G81" s="621">
        <f>(('VALOR POSTOS MÊS '!G40+('VALOR POSTOS MÊS '!G48+'VALOR POSTOS MÊS '!G62+(MAX(0,$C81-0.06*'VALOR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'!$D$149-$D81)</f>
        <v>10267.560367272728</v>
      </c>
      <c r="H81" s="621">
        <f>(('VALOR POSTOS MÊS '!H40+('VALOR POSTOS MÊS '!H48+'VALOR POSTOS MÊS '!H62+(MAX(0,$C81-0.06*'VALOR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'!$D$149-$D81)</f>
        <v>12184.771276363639</v>
      </c>
      <c r="I81" s="621">
        <f>(('VALOR POSTOS MÊS '!I40+('VALOR POSTOS MÊS '!I48+'VALOR POSTOS MÊS '!I62+(MAX(0,$C81-0.06*'VALOR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'!$D$149-$D81)</f>
        <v>15820.113094545455</v>
      </c>
      <c r="J81" s="621">
        <f>(('VALOR POSTOS MÊS '!J40+('VALOR POSTOS MÊS '!J48+'VALOR POSTOS MÊS '!J62+(MAX(0,$C81-0.06*'VALOR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'!$D$149-$D81)</f>
        <v>19964.125821818187</v>
      </c>
      <c r="K81" s="621">
        <f>(('VALOR POSTOS MÊS '!K40+('VALOR POSTOS MÊS '!K48+'VALOR POSTOS MÊS '!K62+(MAX(0,$C81-0.06*'VALOR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'!$D$149-$D81)</f>
        <v>10555.705821818183</v>
      </c>
      <c r="L81" s="621">
        <f>(('VALOR POSTOS MÊS '!L40+('VALOR POSTOS MÊS '!L48+'VALOR POSTOS MÊS '!L62+(MAX(0,$C81-0.06*'VALOR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'!$D$149-$D81)</f>
        <v>10285.696730909092</v>
      </c>
      <c r="M81" s="604">
        <f>'CADASTRO V-T e ISS'!H81</f>
        <v>1</v>
      </c>
      <c r="N81" s="604">
        <f>'CADASTRO V-T e ISS'!I81</f>
        <v>2</v>
      </c>
      <c r="O81" s="604">
        <f>'CADASTRO V-T e ISS'!J81</f>
        <v>0</v>
      </c>
      <c r="P81" s="604">
        <f>'CADASTRO V-T e ISS'!K81</f>
        <v>0</v>
      </c>
      <c r="Q81" s="604">
        <f>'CADASTRO V-T e ISS'!L81</f>
        <v>0</v>
      </c>
      <c r="R81" s="604">
        <f>'CADASTRO V-T e ISS'!M81</f>
        <v>0</v>
      </c>
      <c r="S81" s="604">
        <f>'CADASTRO V-T e ISS'!N81</f>
        <v>0</v>
      </c>
      <c r="T81" s="604">
        <f>'CADASTRO V-T e ISS'!O81</f>
        <v>0</v>
      </c>
      <c r="U81" s="608">
        <f t="shared" si="8"/>
        <v>24992.082920000004</v>
      </c>
      <c r="V81" s="608">
        <f t="shared" si="9"/>
        <v>499.84165840000009</v>
      </c>
      <c r="W81" s="608">
        <f t="shared" si="10"/>
        <v>25491.924578400005</v>
      </c>
      <c r="X81" s="608">
        <f t="shared" si="11"/>
        <v>611806.18988160009</v>
      </c>
    </row>
    <row r="82" spans="1:24">
      <c r="A82" s="604">
        <f>'CADASTRO V-T e ISS'!A82</f>
        <v>77</v>
      </c>
      <c r="B82" s="605" t="str">
        <f>'CADASTRO V-T e ISS'!B82</f>
        <v>Iguatu</v>
      </c>
      <c r="C82" s="606">
        <f>IF('CADASTRO V-T e ISS'!C82="SIM",'CADASTRO V-T e ISS'!D82*'CADASTRO V-T e ISS'!E82*'CADASTRO V-T e ISS'!F82,0)</f>
        <v>0</v>
      </c>
      <c r="D82" s="607">
        <f>'CADASTRO V-T e ISS'!G82</f>
        <v>0</v>
      </c>
      <c r="E82" s="621">
        <f>(('VALOR POSTOS MÊS '!E40+('VALOR POSTOS MÊS '!E48+'VALOR POSTOS MÊS '!E62+(MAX(0,$C82-0.06*'VALOR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'!$D$149-$D82)</f>
        <v>8428.8640036363649</v>
      </c>
      <c r="F82" s="621">
        <f>(('VALOR POSTOS MÊS '!F40+('VALOR POSTOS MÊS '!F48+'VALOR POSTOS MÊS '!F62+(MAX(0,$C82-0.06*'VALOR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'!$D$149-$D82)</f>
        <v>8281.6094581818197</v>
      </c>
      <c r="G82" s="621">
        <f>(('VALOR POSTOS MÊS '!G40+('VALOR POSTOS MÊS '!G48+'VALOR POSTOS MÊS '!G62+(MAX(0,$C82-0.06*'VALOR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'!$D$149-$D82)</f>
        <v>10267.560367272728</v>
      </c>
      <c r="H82" s="621">
        <f>(('VALOR POSTOS MÊS '!H40+('VALOR POSTOS MÊS '!H48+'VALOR POSTOS MÊS '!H62+(MAX(0,$C82-0.06*'VALOR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'!$D$149-$D82)</f>
        <v>12184.771276363639</v>
      </c>
      <c r="I82" s="621">
        <f>(('VALOR POSTOS MÊS '!I40+('VALOR POSTOS MÊS '!I48+'VALOR POSTOS MÊS '!I62+(MAX(0,$C82-0.06*'VALOR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'!$D$149-$D82)</f>
        <v>15820.113094545455</v>
      </c>
      <c r="J82" s="621">
        <f>(('VALOR POSTOS MÊS '!J40+('VALOR POSTOS MÊS '!J48+'VALOR POSTOS MÊS '!J62+(MAX(0,$C82-0.06*'VALOR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'!$D$149-$D82)</f>
        <v>19964.125821818187</v>
      </c>
      <c r="K82" s="621">
        <f>(('VALOR POSTOS MÊS '!K40+('VALOR POSTOS MÊS '!K48+'VALOR POSTOS MÊS '!K62+(MAX(0,$C82-0.06*'VALOR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'!$D$149-$D82)</f>
        <v>10555.705821818183</v>
      </c>
      <c r="L82" s="621">
        <f>(('VALOR POSTOS MÊS '!L40+('VALOR POSTOS MÊS '!L48+'VALOR POSTOS MÊS '!L62+(MAX(0,$C82-0.06*'VALOR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'!$D$149-$D82)</f>
        <v>10285.696730909092</v>
      </c>
      <c r="M82" s="604">
        <f>'CADASTRO V-T e ISS'!H82</f>
        <v>5</v>
      </c>
      <c r="N82" s="604">
        <f>'CADASTRO V-T e ISS'!I82</f>
        <v>7</v>
      </c>
      <c r="O82" s="604">
        <f>'CADASTRO V-T e ISS'!J82</f>
        <v>1</v>
      </c>
      <c r="P82" s="604">
        <f>'CADASTRO V-T e ISS'!K82</f>
        <v>3</v>
      </c>
      <c r="Q82" s="604">
        <f>'CADASTRO V-T e ISS'!L82</f>
        <v>1</v>
      </c>
      <c r="R82" s="604">
        <f>'CADASTRO V-T e ISS'!M82</f>
        <v>0</v>
      </c>
      <c r="S82" s="604">
        <f>'CADASTRO V-T e ISS'!N82</f>
        <v>1</v>
      </c>
      <c r="T82" s="604">
        <f>'CADASTRO V-T e ISS'!O82</f>
        <v>0</v>
      </c>
      <c r="U82" s="608">
        <f t="shared" si="8"/>
        <v>173313.27933818186</v>
      </c>
      <c r="V82" s="608">
        <f t="shared" si="9"/>
        <v>3466.2655867636372</v>
      </c>
      <c r="W82" s="608">
        <f t="shared" si="10"/>
        <v>176779.54492494551</v>
      </c>
      <c r="X82" s="608">
        <f t="shared" si="11"/>
        <v>4242709.0781986918</v>
      </c>
    </row>
    <row r="83" spans="1:24">
      <c r="A83" s="604">
        <f>'CADASTRO V-T e ISS'!A83</f>
        <v>78</v>
      </c>
      <c r="B83" s="605" t="str">
        <f>'CADASTRO V-T e ISS'!B83</f>
        <v>Independência</v>
      </c>
      <c r="C83" s="606">
        <f>IF('CADASTRO V-T e ISS'!C83="SIM",'CADASTRO V-T e ISS'!D83*'CADASTRO V-T e ISS'!E83*'CADASTRO V-T e ISS'!F83,0)</f>
        <v>0</v>
      </c>
      <c r="D83" s="607">
        <f>'CADASTRO V-T e ISS'!G83</f>
        <v>0</v>
      </c>
      <c r="E83" s="621">
        <f>(('VALOR POSTOS MÊS '!E40+('VALOR POSTOS MÊS '!E48+'VALOR POSTOS MÊS '!E62+(MAX(0,$C83-0.06*'VALOR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'!$D$149-$D83)</f>
        <v>8428.8640036363649</v>
      </c>
      <c r="F83" s="621">
        <f>(('VALOR POSTOS MÊS '!F40+('VALOR POSTOS MÊS '!F48+'VALOR POSTOS MÊS '!F62+(MAX(0,$C83-0.06*'VALOR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'!$D$149-$D83)</f>
        <v>8281.6094581818197</v>
      </c>
      <c r="G83" s="621">
        <f>(('VALOR POSTOS MÊS '!G40+('VALOR POSTOS MÊS '!G48+'VALOR POSTOS MÊS '!G62+(MAX(0,$C83-0.06*'VALOR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'!$D$149-$D83)</f>
        <v>10267.560367272728</v>
      </c>
      <c r="H83" s="621">
        <f>(('VALOR POSTOS MÊS '!H40+('VALOR POSTOS MÊS '!H48+'VALOR POSTOS MÊS '!H62+(MAX(0,$C83-0.06*'VALOR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'!$D$149-$D83)</f>
        <v>12184.771276363639</v>
      </c>
      <c r="I83" s="621">
        <f>(('VALOR POSTOS MÊS '!I40+('VALOR POSTOS MÊS '!I48+'VALOR POSTOS MÊS '!I62+(MAX(0,$C83-0.06*'VALOR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'!$D$149-$D83)</f>
        <v>15820.113094545455</v>
      </c>
      <c r="J83" s="621">
        <f>(('VALOR POSTOS MÊS '!J40+('VALOR POSTOS MÊS '!J48+'VALOR POSTOS MÊS '!J62+(MAX(0,$C83-0.06*'VALOR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'!$D$149-$D83)</f>
        <v>19964.125821818187</v>
      </c>
      <c r="K83" s="621">
        <f>(('VALOR POSTOS MÊS '!K40+('VALOR POSTOS MÊS '!K48+'VALOR POSTOS MÊS '!K62+(MAX(0,$C83-0.06*'VALOR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'!$D$149-$D83)</f>
        <v>10555.705821818183</v>
      </c>
      <c r="L83" s="621">
        <f>(('VALOR POSTOS MÊS '!L40+('VALOR POSTOS MÊS '!L48+'VALOR POSTOS MÊS '!L62+(MAX(0,$C83-0.06*'VALOR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'!$D$149-$D83)</f>
        <v>10285.696730909092</v>
      </c>
      <c r="M83" s="604">
        <f>'CADASTRO V-T e ISS'!H83</f>
        <v>1</v>
      </c>
      <c r="N83" s="604">
        <f>'CADASTRO V-T e ISS'!I83</f>
        <v>2</v>
      </c>
      <c r="O83" s="604">
        <f>'CADASTRO V-T e ISS'!J83</f>
        <v>0</v>
      </c>
      <c r="P83" s="604">
        <f>'CADASTRO V-T e ISS'!K83</f>
        <v>0</v>
      </c>
      <c r="Q83" s="604">
        <f>'CADASTRO V-T e ISS'!L83</f>
        <v>0</v>
      </c>
      <c r="R83" s="604">
        <f>'CADASTRO V-T e ISS'!M83</f>
        <v>0</v>
      </c>
      <c r="S83" s="604">
        <f>'CADASTRO V-T e ISS'!N83</f>
        <v>0</v>
      </c>
      <c r="T83" s="604">
        <f>'CADASTRO V-T e ISS'!O83</f>
        <v>0</v>
      </c>
      <c r="U83" s="608">
        <f t="shared" si="8"/>
        <v>24992.082920000004</v>
      </c>
      <c r="V83" s="608">
        <f t="shared" si="9"/>
        <v>499.84165840000009</v>
      </c>
      <c r="W83" s="608">
        <f t="shared" si="10"/>
        <v>25491.924578400005</v>
      </c>
      <c r="X83" s="608">
        <f t="shared" si="11"/>
        <v>611806.18988160009</v>
      </c>
    </row>
    <row r="84" spans="1:24">
      <c r="A84" s="604">
        <f>'CADASTRO V-T e ISS'!A84</f>
        <v>79</v>
      </c>
      <c r="B84" s="605" t="str">
        <f>'CADASTRO V-T e ISS'!B84</f>
        <v>Ipaporanga</v>
      </c>
      <c r="C84" s="606">
        <f>IF('CADASTRO V-T e ISS'!C84="SIM",'CADASTRO V-T e ISS'!D84*'CADASTRO V-T e ISS'!E84*'CADASTRO V-T e ISS'!F84,0)</f>
        <v>0</v>
      </c>
      <c r="D84" s="607">
        <f>'CADASTRO V-T e ISS'!G84</f>
        <v>0</v>
      </c>
      <c r="E84" s="621">
        <f>(('VALOR POSTOS MÊS '!E40+('VALOR POSTOS MÊS '!E48+'VALOR POSTOS MÊS '!E62+(MAX(0,$C84-0.06*'VALOR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'!$D$149-$D84)</f>
        <v>8428.8640036363649</v>
      </c>
      <c r="F84" s="621">
        <f>(('VALOR POSTOS MÊS '!F40+('VALOR POSTOS MÊS '!F48+'VALOR POSTOS MÊS '!F62+(MAX(0,$C84-0.06*'VALOR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'!$D$149-$D84)</f>
        <v>8281.6094581818197</v>
      </c>
      <c r="G84" s="621">
        <f>(('VALOR POSTOS MÊS '!G40+('VALOR POSTOS MÊS '!G48+'VALOR POSTOS MÊS '!G62+(MAX(0,$C84-0.06*'VALOR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'!$D$149-$D84)</f>
        <v>10267.560367272728</v>
      </c>
      <c r="H84" s="621">
        <f>(('VALOR POSTOS MÊS '!H40+('VALOR POSTOS MÊS '!H48+'VALOR POSTOS MÊS '!H62+(MAX(0,$C84-0.06*'VALOR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'!$D$149-$D84)</f>
        <v>12184.771276363639</v>
      </c>
      <c r="I84" s="621">
        <f>(('VALOR POSTOS MÊS '!I40+('VALOR POSTOS MÊS '!I48+'VALOR POSTOS MÊS '!I62+(MAX(0,$C84-0.06*'VALOR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'!$D$149-$D84)</f>
        <v>15820.113094545455</v>
      </c>
      <c r="J84" s="621">
        <f>(('VALOR POSTOS MÊS '!J40+('VALOR POSTOS MÊS '!J48+'VALOR POSTOS MÊS '!J62+(MAX(0,$C84-0.06*'VALOR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'!$D$149-$D84)</f>
        <v>19964.125821818187</v>
      </c>
      <c r="K84" s="621">
        <f>(('VALOR POSTOS MÊS '!K40+('VALOR POSTOS MÊS '!K48+'VALOR POSTOS MÊS '!K62+(MAX(0,$C84-0.06*'VALOR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'!$D$149-$D84)</f>
        <v>10555.705821818183</v>
      </c>
      <c r="L84" s="621">
        <f>(('VALOR POSTOS MÊS '!L40+('VALOR POSTOS MÊS '!L48+'VALOR POSTOS MÊS '!L62+(MAX(0,$C84-0.06*'VALOR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'!$D$149-$D84)</f>
        <v>10285.696730909092</v>
      </c>
      <c r="M84" s="604">
        <f>'CADASTRO V-T e ISS'!H84</f>
        <v>0</v>
      </c>
      <c r="N84" s="604">
        <f>'CADASTRO V-T e ISS'!I84</f>
        <v>0</v>
      </c>
      <c r="O84" s="604">
        <f>'CADASTRO V-T e ISS'!J84</f>
        <v>0</v>
      </c>
      <c r="P84" s="604">
        <f>'CADASTRO V-T e ISS'!K84</f>
        <v>0</v>
      </c>
      <c r="Q84" s="604">
        <f>'CADASTRO V-T e ISS'!L84</f>
        <v>0</v>
      </c>
      <c r="R84" s="604">
        <f>'CADASTRO V-T e ISS'!M84</f>
        <v>0</v>
      </c>
      <c r="S84" s="604">
        <f>'CADASTRO V-T e ISS'!N84</f>
        <v>0</v>
      </c>
      <c r="T84" s="604">
        <f>'CADASTRO V-T e ISS'!O84</f>
        <v>0</v>
      </c>
      <c r="U84" s="608">
        <f t="shared" si="8"/>
        <v>0</v>
      </c>
      <c r="V84" s="608">
        <f t="shared" si="9"/>
        <v>0</v>
      </c>
      <c r="W84" s="608">
        <f t="shared" si="10"/>
        <v>0</v>
      </c>
      <c r="X84" s="608">
        <f t="shared" si="11"/>
        <v>0</v>
      </c>
    </row>
    <row r="85" spans="1:24">
      <c r="A85" s="604">
        <f>'CADASTRO V-T e ISS'!A85</f>
        <v>80</v>
      </c>
      <c r="B85" s="605" t="str">
        <f>'CADASTRO V-T e ISS'!B85</f>
        <v>Ipaumirim</v>
      </c>
      <c r="C85" s="606">
        <f>IF('CADASTRO V-T e ISS'!C85="SIM",'CADASTRO V-T e ISS'!D85*'CADASTRO V-T e ISS'!E85*'CADASTRO V-T e ISS'!F85,0)</f>
        <v>0</v>
      </c>
      <c r="D85" s="607">
        <f>'CADASTRO V-T e ISS'!G85</f>
        <v>0</v>
      </c>
      <c r="E85" s="621">
        <f>(('VALOR POSTOS MÊS '!E40+('VALOR POSTOS MÊS '!E48+'VALOR POSTOS MÊS '!E62+(MAX(0,$C85-0.06*'VALOR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'!$D$149-$D85)</f>
        <v>8428.8640036363649</v>
      </c>
      <c r="F85" s="621">
        <f>(('VALOR POSTOS MÊS '!F40+('VALOR POSTOS MÊS '!F48+'VALOR POSTOS MÊS '!F62+(MAX(0,$C85-0.06*'VALOR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'!$D$149-$D85)</f>
        <v>8281.6094581818197</v>
      </c>
      <c r="G85" s="621">
        <f>(('VALOR POSTOS MÊS '!G40+('VALOR POSTOS MÊS '!G48+'VALOR POSTOS MÊS '!G62+(MAX(0,$C85-0.06*'VALOR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'!$D$149-$D85)</f>
        <v>10267.560367272728</v>
      </c>
      <c r="H85" s="621">
        <f>(('VALOR POSTOS MÊS '!H40+('VALOR POSTOS MÊS '!H48+'VALOR POSTOS MÊS '!H62+(MAX(0,$C85-0.06*'VALOR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'!$D$149-$D85)</f>
        <v>12184.771276363639</v>
      </c>
      <c r="I85" s="621">
        <f>(('VALOR POSTOS MÊS '!I40+('VALOR POSTOS MÊS '!I48+'VALOR POSTOS MÊS '!I62+(MAX(0,$C85-0.06*'VALOR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'!$D$149-$D85)</f>
        <v>15820.113094545455</v>
      </c>
      <c r="J85" s="621">
        <f>(('VALOR POSTOS MÊS '!J40+('VALOR POSTOS MÊS '!J48+'VALOR POSTOS MÊS '!J62+(MAX(0,$C85-0.06*'VALOR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'!$D$149-$D85)</f>
        <v>19964.125821818187</v>
      </c>
      <c r="K85" s="621">
        <f>(('VALOR POSTOS MÊS '!K40+('VALOR POSTOS MÊS '!K48+'VALOR POSTOS MÊS '!K62+(MAX(0,$C85-0.06*'VALOR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'!$D$149-$D85)</f>
        <v>10555.705821818183</v>
      </c>
      <c r="L85" s="621">
        <f>(('VALOR POSTOS MÊS '!L40+('VALOR POSTOS MÊS '!L48+'VALOR POSTOS MÊS '!L62+(MAX(0,$C85-0.06*'VALOR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'!$D$149-$D85)</f>
        <v>10285.696730909092</v>
      </c>
      <c r="M85" s="604">
        <f>'CADASTRO V-T e ISS'!H85</f>
        <v>1</v>
      </c>
      <c r="N85" s="604">
        <f>'CADASTRO V-T e ISS'!I85</f>
        <v>1</v>
      </c>
      <c r="O85" s="604">
        <f>'CADASTRO V-T e ISS'!J85</f>
        <v>0</v>
      </c>
      <c r="P85" s="604">
        <f>'CADASTRO V-T e ISS'!K85</f>
        <v>0</v>
      </c>
      <c r="Q85" s="604">
        <f>'CADASTRO V-T e ISS'!L85</f>
        <v>0</v>
      </c>
      <c r="R85" s="604">
        <f>'CADASTRO V-T e ISS'!M85</f>
        <v>0</v>
      </c>
      <c r="S85" s="604">
        <f>'CADASTRO V-T e ISS'!N85</f>
        <v>0</v>
      </c>
      <c r="T85" s="604">
        <f>'CADASTRO V-T e ISS'!O85</f>
        <v>0</v>
      </c>
      <c r="U85" s="608">
        <f t="shared" si="8"/>
        <v>16710.473461818183</v>
      </c>
      <c r="V85" s="608">
        <f t="shared" si="9"/>
        <v>334.20946923636365</v>
      </c>
      <c r="W85" s="608">
        <f t="shared" si="10"/>
        <v>17044.682931054547</v>
      </c>
      <c r="X85" s="608">
        <f t="shared" si="11"/>
        <v>409072.39034530916</v>
      </c>
    </row>
    <row r="86" spans="1:24">
      <c r="A86" s="604">
        <f>'CADASTRO V-T e ISS'!A86</f>
        <v>81</v>
      </c>
      <c r="B86" s="605" t="str">
        <f>'CADASTRO V-T e ISS'!B86</f>
        <v>Ipu</v>
      </c>
      <c r="C86" s="606">
        <f>IF('CADASTRO V-T e ISS'!C86="SIM",'CADASTRO V-T e ISS'!D86*'CADASTRO V-T e ISS'!E86*'CADASTRO V-T e ISS'!F86,0)</f>
        <v>0</v>
      </c>
      <c r="D86" s="607">
        <f>'CADASTRO V-T e ISS'!G86</f>
        <v>0</v>
      </c>
      <c r="E86" s="621">
        <f>(('VALOR POSTOS MÊS '!E40+('VALOR POSTOS MÊS '!E48+'VALOR POSTOS MÊS '!E62+(MAX(0,$C86-0.06*'VALOR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'!$D$149-$D86)</f>
        <v>8428.8640036363649</v>
      </c>
      <c r="F86" s="621">
        <f>(('VALOR POSTOS MÊS '!F40+('VALOR POSTOS MÊS '!F48+'VALOR POSTOS MÊS '!F62+(MAX(0,$C86-0.06*'VALOR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'!$D$149-$D86)</f>
        <v>8281.6094581818197</v>
      </c>
      <c r="G86" s="621">
        <f>(('VALOR POSTOS MÊS '!G40+('VALOR POSTOS MÊS '!G48+'VALOR POSTOS MÊS '!G62+(MAX(0,$C86-0.06*'VALOR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'!$D$149-$D86)</f>
        <v>10267.560367272728</v>
      </c>
      <c r="H86" s="621">
        <f>(('VALOR POSTOS MÊS '!H40+('VALOR POSTOS MÊS '!H48+'VALOR POSTOS MÊS '!H62+(MAX(0,$C86-0.06*'VALOR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'!$D$149-$D86)</f>
        <v>12184.771276363639</v>
      </c>
      <c r="I86" s="621">
        <f>(('VALOR POSTOS MÊS '!I40+('VALOR POSTOS MÊS '!I48+'VALOR POSTOS MÊS '!I62+(MAX(0,$C86-0.06*'VALOR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'!$D$149-$D86)</f>
        <v>15820.113094545455</v>
      </c>
      <c r="J86" s="621">
        <f>(('VALOR POSTOS MÊS '!J40+('VALOR POSTOS MÊS '!J48+'VALOR POSTOS MÊS '!J62+(MAX(0,$C86-0.06*'VALOR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'!$D$149-$D86)</f>
        <v>19964.125821818187</v>
      </c>
      <c r="K86" s="621">
        <f>(('VALOR POSTOS MÊS '!K40+('VALOR POSTOS MÊS '!K48+'VALOR POSTOS MÊS '!K62+(MAX(0,$C86-0.06*'VALOR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'!$D$149-$D86)</f>
        <v>10555.705821818183</v>
      </c>
      <c r="L86" s="621">
        <f>(('VALOR POSTOS MÊS '!L40+('VALOR POSTOS MÊS '!L48+'VALOR POSTOS MÊS '!L62+(MAX(0,$C86-0.06*'VALOR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'!$D$149-$D86)</f>
        <v>10285.696730909092</v>
      </c>
      <c r="M86" s="604">
        <f>'CADASTRO V-T e ISS'!H86</f>
        <v>1</v>
      </c>
      <c r="N86" s="604">
        <f>'CADASTRO V-T e ISS'!I86</f>
        <v>2</v>
      </c>
      <c r="O86" s="604">
        <f>'CADASTRO V-T e ISS'!J86</f>
        <v>0</v>
      </c>
      <c r="P86" s="604">
        <f>'CADASTRO V-T e ISS'!K86</f>
        <v>0</v>
      </c>
      <c r="Q86" s="604">
        <f>'CADASTRO V-T e ISS'!L86</f>
        <v>0</v>
      </c>
      <c r="R86" s="604">
        <f>'CADASTRO V-T e ISS'!M86</f>
        <v>0</v>
      </c>
      <c r="S86" s="604">
        <f>'CADASTRO V-T e ISS'!N86</f>
        <v>0</v>
      </c>
      <c r="T86" s="604">
        <f>'CADASTRO V-T e ISS'!O86</f>
        <v>0</v>
      </c>
      <c r="U86" s="608">
        <f t="shared" si="8"/>
        <v>24992.082920000004</v>
      </c>
      <c r="V86" s="608">
        <f t="shared" si="9"/>
        <v>499.84165840000009</v>
      </c>
      <c r="W86" s="608">
        <f t="shared" si="10"/>
        <v>25491.924578400005</v>
      </c>
      <c r="X86" s="608">
        <f t="shared" si="11"/>
        <v>611806.18988160009</v>
      </c>
    </row>
    <row r="87" spans="1:24">
      <c r="A87" s="604">
        <f>'CADASTRO V-T e ISS'!A87</f>
        <v>82</v>
      </c>
      <c r="B87" s="605" t="str">
        <f>'CADASTRO V-T e ISS'!B87</f>
        <v>Ipueiras</v>
      </c>
      <c r="C87" s="606">
        <f>IF('CADASTRO V-T e ISS'!C87="SIM",'CADASTRO V-T e ISS'!D87*'CADASTRO V-T e ISS'!E87*'CADASTRO V-T e ISS'!F87,0)</f>
        <v>0</v>
      </c>
      <c r="D87" s="607">
        <f>'CADASTRO V-T e ISS'!G87</f>
        <v>0</v>
      </c>
      <c r="E87" s="621">
        <f>(('VALOR POSTOS MÊS '!E40+('VALOR POSTOS MÊS '!E48+'VALOR POSTOS MÊS '!E62+(MAX(0,$C87-0.06*'VALOR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'!$D$149-$D87)</f>
        <v>8428.8640036363649</v>
      </c>
      <c r="F87" s="621">
        <f>(('VALOR POSTOS MÊS '!F40+('VALOR POSTOS MÊS '!F48+'VALOR POSTOS MÊS '!F62+(MAX(0,$C87-0.06*'VALOR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'!$D$149-$D87)</f>
        <v>8281.6094581818197</v>
      </c>
      <c r="G87" s="621">
        <f>(('VALOR POSTOS MÊS '!G40+('VALOR POSTOS MÊS '!G48+'VALOR POSTOS MÊS '!G62+(MAX(0,$C87-0.06*'VALOR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'!$D$149-$D87)</f>
        <v>10267.560367272728</v>
      </c>
      <c r="H87" s="621">
        <f>(('VALOR POSTOS MÊS '!H40+('VALOR POSTOS MÊS '!H48+'VALOR POSTOS MÊS '!H62+(MAX(0,$C87-0.06*'VALOR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'!$D$149-$D87)</f>
        <v>12184.771276363639</v>
      </c>
      <c r="I87" s="621">
        <f>(('VALOR POSTOS MÊS '!I40+('VALOR POSTOS MÊS '!I48+'VALOR POSTOS MÊS '!I62+(MAX(0,$C87-0.06*'VALOR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'!$D$149-$D87)</f>
        <v>15820.113094545455</v>
      </c>
      <c r="J87" s="621">
        <f>(('VALOR POSTOS MÊS '!J40+('VALOR POSTOS MÊS '!J48+'VALOR POSTOS MÊS '!J62+(MAX(0,$C87-0.06*'VALOR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'!$D$149-$D87)</f>
        <v>19964.125821818187</v>
      </c>
      <c r="K87" s="621">
        <f>(('VALOR POSTOS MÊS '!K40+('VALOR POSTOS MÊS '!K48+'VALOR POSTOS MÊS '!K62+(MAX(0,$C87-0.06*'VALOR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'!$D$149-$D87)</f>
        <v>10555.705821818183</v>
      </c>
      <c r="L87" s="621">
        <f>(('VALOR POSTOS MÊS '!L40+('VALOR POSTOS MÊS '!L48+'VALOR POSTOS MÊS '!L62+(MAX(0,$C87-0.06*'VALOR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'!$D$149-$D87)</f>
        <v>10285.696730909092</v>
      </c>
      <c r="M87" s="604">
        <f>'CADASTRO V-T e ISS'!H87</f>
        <v>1</v>
      </c>
      <c r="N87" s="604">
        <f>'CADASTRO V-T e ISS'!I87</f>
        <v>1</v>
      </c>
      <c r="O87" s="604">
        <f>'CADASTRO V-T e ISS'!J87</f>
        <v>0</v>
      </c>
      <c r="P87" s="604">
        <f>'CADASTRO V-T e ISS'!K87</f>
        <v>0</v>
      </c>
      <c r="Q87" s="604">
        <f>'CADASTRO V-T e ISS'!L87</f>
        <v>0</v>
      </c>
      <c r="R87" s="604">
        <f>'CADASTRO V-T e ISS'!M87</f>
        <v>0</v>
      </c>
      <c r="S87" s="604">
        <f>'CADASTRO V-T e ISS'!N87</f>
        <v>0</v>
      </c>
      <c r="T87" s="604">
        <f>'CADASTRO V-T e ISS'!O87</f>
        <v>0</v>
      </c>
      <c r="U87" s="608">
        <f t="shared" si="8"/>
        <v>16710.473461818183</v>
      </c>
      <c r="V87" s="608">
        <f t="shared" si="9"/>
        <v>334.20946923636365</v>
      </c>
      <c r="W87" s="608">
        <f t="shared" si="10"/>
        <v>17044.682931054547</v>
      </c>
      <c r="X87" s="608">
        <f t="shared" si="11"/>
        <v>409072.39034530916</v>
      </c>
    </row>
    <row r="88" spans="1:24">
      <c r="A88" s="604">
        <f>'CADASTRO V-T e ISS'!A88</f>
        <v>83</v>
      </c>
      <c r="B88" s="605" t="str">
        <f>'CADASTRO V-T e ISS'!B88</f>
        <v>Iracema</v>
      </c>
      <c r="C88" s="606">
        <f>IF('CADASTRO V-T e ISS'!C88="SIM",'CADASTRO V-T e ISS'!D88*'CADASTRO V-T e ISS'!E88*'CADASTRO V-T e ISS'!F88,0)</f>
        <v>0</v>
      </c>
      <c r="D88" s="607">
        <f>'CADASTRO V-T e ISS'!G88</f>
        <v>0</v>
      </c>
      <c r="E88" s="621">
        <f>(('VALOR POSTOS MÊS '!E40+('VALOR POSTOS MÊS '!E48+'VALOR POSTOS MÊS '!E62+(MAX(0,$C88-0.06*'VALOR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'!$D$149-$D88)</f>
        <v>8428.8640036363649</v>
      </c>
      <c r="F88" s="621">
        <f>(('VALOR POSTOS MÊS '!F40+('VALOR POSTOS MÊS '!F48+'VALOR POSTOS MÊS '!F62+(MAX(0,$C88-0.06*'VALOR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'!$D$149-$D88)</f>
        <v>8281.6094581818197</v>
      </c>
      <c r="G88" s="621">
        <f>(('VALOR POSTOS MÊS '!G40+('VALOR POSTOS MÊS '!G48+'VALOR POSTOS MÊS '!G62+(MAX(0,$C88-0.06*'VALOR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'!$D$149-$D88)</f>
        <v>10267.560367272728</v>
      </c>
      <c r="H88" s="621">
        <f>(('VALOR POSTOS MÊS '!H40+('VALOR POSTOS MÊS '!H48+'VALOR POSTOS MÊS '!H62+(MAX(0,$C88-0.06*'VALOR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'!$D$149-$D88)</f>
        <v>12184.771276363639</v>
      </c>
      <c r="I88" s="621">
        <f>(('VALOR POSTOS MÊS '!I40+('VALOR POSTOS MÊS '!I48+'VALOR POSTOS MÊS '!I62+(MAX(0,$C88-0.06*'VALOR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'!$D$149-$D88)</f>
        <v>15820.113094545455</v>
      </c>
      <c r="J88" s="621">
        <f>(('VALOR POSTOS MÊS '!J40+('VALOR POSTOS MÊS '!J48+'VALOR POSTOS MÊS '!J62+(MAX(0,$C88-0.06*'VALOR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'!$D$149-$D88)</f>
        <v>19964.125821818187</v>
      </c>
      <c r="K88" s="621">
        <f>(('VALOR POSTOS MÊS '!K40+('VALOR POSTOS MÊS '!K48+'VALOR POSTOS MÊS '!K62+(MAX(0,$C88-0.06*'VALOR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'!$D$149-$D88)</f>
        <v>10555.705821818183</v>
      </c>
      <c r="L88" s="621">
        <f>(('VALOR POSTOS MÊS '!L40+('VALOR POSTOS MÊS '!L48+'VALOR POSTOS MÊS '!L62+(MAX(0,$C88-0.06*'VALOR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'!$D$149-$D88)</f>
        <v>10285.696730909092</v>
      </c>
      <c r="M88" s="604">
        <f>'CADASTRO V-T e ISS'!H88</f>
        <v>1</v>
      </c>
      <c r="N88" s="604">
        <f>'CADASTRO V-T e ISS'!I88</f>
        <v>1</v>
      </c>
      <c r="O88" s="604">
        <f>'CADASTRO V-T e ISS'!J88</f>
        <v>0</v>
      </c>
      <c r="P88" s="604">
        <f>'CADASTRO V-T e ISS'!K88</f>
        <v>0</v>
      </c>
      <c r="Q88" s="604">
        <f>'CADASTRO V-T e ISS'!L88</f>
        <v>0</v>
      </c>
      <c r="R88" s="604">
        <f>'CADASTRO V-T e ISS'!M88</f>
        <v>0</v>
      </c>
      <c r="S88" s="604">
        <f>'CADASTRO V-T e ISS'!N88</f>
        <v>0</v>
      </c>
      <c r="T88" s="604">
        <f>'CADASTRO V-T e ISS'!O88</f>
        <v>0</v>
      </c>
      <c r="U88" s="608">
        <f t="shared" si="8"/>
        <v>16710.473461818183</v>
      </c>
      <c r="V88" s="608">
        <f t="shared" si="9"/>
        <v>334.20946923636365</v>
      </c>
      <c r="W88" s="608">
        <f t="shared" si="10"/>
        <v>17044.682931054547</v>
      </c>
      <c r="X88" s="608">
        <f t="shared" si="11"/>
        <v>409072.39034530916</v>
      </c>
    </row>
    <row r="89" spans="1:24">
      <c r="A89" s="604">
        <f>'CADASTRO V-T e ISS'!A89</f>
        <v>84</v>
      </c>
      <c r="B89" s="605" t="str">
        <f>'CADASTRO V-T e ISS'!B89</f>
        <v>Irauçuba</v>
      </c>
      <c r="C89" s="606">
        <f>IF('CADASTRO V-T e ISS'!C89="SIM",'CADASTRO V-T e ISS'!D89*'CADASTRO V-T e ISS'!E89*'CADASTRO V-T e ISS'!F89,0)</f>
        <v>0</v>
      </c>
      <c r="D89" s="607">
        <f>'CADASTRO V-T e ISS'!G89</f>
        <v>0</v>
      </c>
      <c r="E89" s="621">
        <f>(('VALOR POSTOS MÊS '!E40+('VALOR POSTOS MÊS '!E48+'VALOR POSTOS MÊS '!E62+(MAX(0,$C89-0.06*'VALOR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'!E62+(MAX(0,$C89-0.06*'VALOR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'!$D$149-$D89)</f>
        <v>8428.8640036363649</v>
      </c>
      <c r="F89" s="621">
        <f>(('VALOR POSTOS MÊS '!F40+('VALOR POSTOS MÊS '!F48+'VALOR POSTOS MÊS '!F62+(MAX(0,$C89-0.06*'VALOR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'!F62+(MAX(0,$C89-0.06*'VALOR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'!$D$149-$D89)</f>
        <v>8281.6094581818197</v>
      </c>
      <c r="G89" s="621">
        <f>(('VALOR POSTOS MÊS '!G40+('VALOR POSTOS MÊS '!G48+'VALOR POSTOS MÊS '!G62+(MAX(0,$C89-0.06*'VALOR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'!G62+(MAX(0,$C89-0.06*'VALOR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'!$D$149-$D89)</f>
        <v>10267.560367272728</v>
      </c>
      <c r="H89" s="621">
        <f>(('VALOR POSTOS MÊS '!H40+('VALOR POSTOS MÊS '!H48+'VALOR POSTOS MÊS '!H62+(MAX(0,$C89-0.06*'VALOR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'!H62+(MAX(0,$C89-0.06*'VALOR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'!$D$149-$D89)</f>
        <v>12184.771276363639</v>
      </c>
      <c r="I89" s="621">
        <f>(('VALOR POSTOS MÊS '!I40+('VALOR POSTOS MÊS '!I48+'VALOR POSTOS MÊS '!I62+(MAX(0,$C89-0.06*'VALOR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'!I62+(MAX(0,$C89-0.06*'VALOR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'!$D$149-$D89)</f>
        <v>15820.113094545455</v>
      </c>
      <c r="J89" s="621">
        <f>(('VALOR POSTOS MÊS '!J40+('VALOR POSTOS MÊS '!J48+'VALOR POSTOS MÊS '!J62+(MAX(0,$C89-0.06*'VALOR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'!J62+(MAX(0,$C89-0.06*'VALOR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'!$D$149-$D89)</f>
        <v>19964.125821818187</v>
      </c>
      <c r="K89" s="621">
        <f>(('VALOR POSTOS MÊS '!K40+('VALOR POSTOS MÊS '!K48+'VALOR POSTOS MÊS '!K62+(MAX(0,$C89-0.06*'VALOR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'!K62+(MAX(0,$C89-0.06*'VALOR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'!$D$149-$D89)</f>
        <v>10555.705821818183</v>
      </c>
      <c r="L89" s="621">
        <f>(('VALOR POSTOS MÊS '!L40+('VALOR POSTOS MÊS '!L48+'VALOR POSTOS MÊS '!L62+(MAX(0,$C89-0.06*'VALOR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'!L62+(MAX(0,$C89-0.06*'VALOR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'!$D$149-$D89)</f>
        <v>10285.696730909092</v>
      </c>
      <c r="M89" s="604">
        <f>'CADASTRO V-T e ISS'!H89</f>
        <v>0</v>
      </c>
      <c r="N89" s="604">
        <f>'CADASTRO V-T e ISS'!I89</f>
        <v>0</v>
      </c>
      <c r="O89" s="604">
        <f>'CADASTRO V-T e ISS'!J89</f>
        <v>0</v>
      </c>
      <c r="P89" s="604">
        <f>'CADASTRO V-T e ISS'!K89</f>
        <v>0</v>
      </c>
      <c r="Q89" s="604">
        <f>'CADASTRO V-T e ISS'!L89</f>
        <v>0</v>
      </c>
      <c r="R89" s="604">
        <f>'CADASTRO V-T e ISS'!M89</f>
        <v>0</v>
      </c>
      <c r="S89" s="604">
        <f>'CADASTRO V-T e ISS'!N89</f>
        <v>0</v>
      </c>
      <c r="T89" s="604">
        <f>'CADASTRO V-T e ISS'!O89</f>
        <v>0</v>
      </c>
      <c r="U89" s="608">
        <f t="shared" si="8"/>
        <v>0</v>
      </c>
      <c r="V89" s="608">
        <f t="shared" si="9"/>
        <v>0</v>
      </c>
      <c r="W89" s="608">
        <f t="shared" si="10"/>
        <v>0</v>
      </c>
      <c r="X89" s="608">
        <f t="shared" si="11"/>
        <v>0</v>
      </c>
    </row>
    <row r="90" spans="1:24">
      <c r="A90" s="604">
        <f>'CADASTRO V-T e ISS'!A90</f>
        <v>85</v>
      </c>
      <c r="B90" s="605" t="str">
        <f>'CADASTRO V-T e ISS'!B90</f>
        <v>Itaiçaba</v>
      </c>
      <c r="C90" s="606">
        <f>IF('CADASTRO V-T e ISS'!C90="SIM",'CADASTRO V-T e ISS'!D90*'CADASTRO V-T e ISS'!E90*'CADASTRO V-T e ISS'!F90,0)</f>
        <v>0</v>
      </c>
      <c r="D90" s="607">
        <f>'CADASTRO V-T e ISS'!G90</f>
        <v>0</v>
      </c>
      <c r="E90" s="621">
        <f>(('VALOR POSTOS MÊS '!E40+('VALOR POSTOS MÊS '!E48+'VALOR POSTOS MÊS '!E62+(MAX(0,$C90-0.06*'VALOR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'!$D$149-$D90)</f>
        <v>8428.8640036363649</v>
      </c>
      <c r="F90" s="621">
        <f>(('VALOR POSTOS MÊS '!F40+('VALOR POSTOS MÊS '!F48+'VALOR POSTOS MÊS '!F62+(MAX(0,$C90-0.06*'VALOR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'!$D$149-$D90)</f>
        <v>8281.6094581818197</v>
      </c>
      <c r="G90" s="621">
        <f>(('VALOR POSTOS MÊS '!G40+('VALOR POSTOS MÊS '!G48+'VALOR POSTOS MÊS '!G62+(MAX(0,$C90-0.06*'VALOR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'!$D$149-$D90)</f>
        <v>10267.560367272728</v>
      </c>
      <c r="H90" s="621">
        <f>(('VALOR POSTOS MÊS '!H40+('VALOR POSTOS MÊS '!H48+'VALOR POSTOS MÊS '!H62+(MAX(0,$C90-0.06*'VALOR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'!$D$149-$D90)</f>
        <v>12184.771276363639</v>
      </c>
      <c r="I90" s="621">
        <f>(('VALOR POSTOS MÊS '!I40+('VALOR POSTOS MÊS '!I48+'VALOR POSTOS MÊS '!I62+(MAX(0,$C90-0.06*'VALOR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'!$D$149-$D90)</f>
        <v>15820.113094545455</v>
      </c>
      <c r="J90" s="621">
        <f>(('VALOR POSTOS MÊS '!J40+('VALOR POSTOS MÊS '!J48+'VALOR POSTOS MÊS '!J62+(MAX(0,$C90-0.06*'VALOR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'!$D$149-$D90)</f>
        <v>19964.125821818187</v>
      </c>
      <c r="K90" s="621">
        <f>(('VALOR POSTOS MÊS '!K40+('VALOR POSTOS MÊS '!K48+'VALOR POSTOS MÊS '!K62+(MAX(0,$C90-0.06*'VALOR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'!$D$149-$D90)</f>
        <v>10555.705821818183</v>
      </c>
      <c r="L90" s="621">
        <f>(('VALOR POSTOS MÊS '!L40+('VALOR POSTOS MÊS '!L48+'VALOR POSTOS MÊS '!L62+(MAX(0,$C90-0.06*'VALOR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'!$D$149-$D90)</f>
        <v>10285.696730909092</v>
      </c>
      <c r="M90" s="604">
        <f>'CADASTRO V-T e ISS'!H90</f>
        <v>0</v>
      </c>
      <c r="N90" s="604">
        <f>'CADASTRO V-T e ISS'!I90</f>
        <v>0</v>
      </c>
      <c r="O90" s="604">
        <f>'CADASTRO V-T e ISS'!J90</f>
        <v>0</v>
      </c>
      <c r="P90" s="604">
        <f>'CADASTRO V-T e ISS'!K90</f>
        <v>0</v>
      </c>
      <c r="Q90" s="604">
        <f>'CADASTRO V-T e ISS'!L90</f>
        <v>0</v>
      </c>
      <c r="R90" s="604">
        <f>'CADASTRO V-T e ISS'!M90</f>
        <v>0</v>
      </c>
      <c r="S90" s="604">
        <f>'CADASTRO V-T e ISS'!N90</f>
        <v>0</v>
      </c>
      <c r="T90" s="604">
        <f>'CADASTRO V-T e ISS'!O90</f>
        <v>0</v>
      </c>
      <c r="U90" s="608">
        <f t="shared" si="8"/>
        <v>0</v>
      </c>
      <c r="V90" s="608">
        <f t="shared" si="9"/>
        <v>0</v>
      </c>
      <c r="W90" s="608">
        <f t="shared" si="10"/>
        <v>0</v>
      </c>
      <c r="X90" s="608">
        <f t="shared" si="11"/>
        <v>0</v>
      </c>
    </row>
    <row r="91" spans="1:24">
      <c r="A91" s="604">
        <f>'CADASTRO V-T e ISS'!A91</f>
        <v>86</v>
      </c>
      <c r="B91" s="605" t="str">
        <f>'CADASTRO V-T e ISS'!B91</f>
        <v>Itaitinga</v>
      </c>
      <c r="C91" s="606">
        <f>IF('CADASTRO V-T e ISS'!C91="SIM",'CADASTRO V-T e ISS'!D91*'CADASTRO V-T e ISS'!E91*'CADASTRO V-T e ISS'!F91,0)</f>
        <v>0</v>
      </c>
      <c r="D91" s="607">
        <f>'CADASTRO V-T e ISS'!G91</f>
        <v>0</v>
      </c>
      <c r="E91" s="621">
        <f>(('VALOR POSTOS MÊS '!E40+('VALOR POSTOS MÊS '!E48+'VALOR POSTOS MÊS '!E62+(MAX(0,$C91-0.06*'VALOR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'!$D$149-$D91)</f>
        <v>8428.8640036363649</v>
      </c>
      <c r="F91" s="621">
        <f>(('VALOR POSTOS MÊS '!F40+('VALOR POSTOS MÊS '!F48+'VALOR POSTOS MÊS '!F62+(MAX(0,$C91-0.06*'VALOR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'!$D$149-$D91)</f>
        <v>8281.6094581818197</v>
      </c>
      <c r="G91" s="621">
        <f>(('VALOR POSTOS MÊS '!G40+('VALOR POSTOS MÊS '!G48+'VALOR POSTOS MÊS '!G62+(MAX(0,$C91-0.06*'VALOR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'!$D$149-$D91)</f>
        <v>10267.560367272728</v>
      </c>
      <c r="H91" s="621">
        <f>(('VALOR POSTOS MÊS '!H40+('VALOR POSTOS MÊS '!H48+'VALOR POSTOS MÊS '!H62+(MAX(0,$C91-0.06*'VALOR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'!$D$149-$D91)</f>
        <v>12184.771276363639</v>
      </c>
      <c r="I91" s="621">
        <f>(('VALOR POSTOS MÊS '!I40+('VALOR POSTOS MÊS '!I48+'VALOR POSTOS MÊS '!I62+(MAX(0,$C91-0.06*'VALOR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'!$D$149-$D91)</f>
        <v>15820.113094545455</v>
      </c>
      <c r="J91" s="621">
        <f>(('VALOR POSTOS MÊS '!J40+('VALOR POSTOS MÊS '!J48+'VALOR POSTOS MÊS '!J62+(MAX(0,$C91-0.06*'VALOR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'!$D$149-$D91)</f>
        <v>19964.125821818187</v>
      </c>
      <c r="K91" s="621">
        <f>(('VALOR POSTOS MÊS '!K40+('VALOR POSTOS MÊS '!K48+'VALOR POSTOS MÊS '!K62+(MAX(0,$C91-0.06*'VALOR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'!$D$149-$D91)</f>
        <v>10555.705821818183</v>
      </c>
      <c r="L91" s="621">
        <f>(('VALOR POSTOS MÊS '!L40+('VALOR POSTOS MÊS '!L48+'VALOR POSTOS MÊS '!L62+(MAX(0,$C91-0.06*'VALOR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'!$D$149-$D91)</f>
        <v>10285.696730909092</v>
      </c>
      <c r="M91" s="604">
        <f>'CADASTRO V-T e ISS'!H91</f>
        <v>1</v>
      </c>
      <c r="N91" s="604">
        <f>'CADASTRO V-T e ISS'!I91</f>
        <v>2</v>
      </c>
      <c r="O91" s="604">
        <f>'CADASTRO V-T e ISS'!J91</f>
        <v>0</v>
      </c>
      <c r="P91" s="604">
        <f>'CADASTRO V-T e ISS'!K91</f>
        <v>0</v>
      </c>
      <c r="Q91" s="604">
        <f>'CADASTRO V-T e ISS'!L91</f>
        <v>0</v>
      </c>
      <c r="R91" s="604">
        <f>'CADASTRO V-T e ISS'!M91</f>
        <v>0</v>
      </c>
      <c r="S91" s="604">
        <f>'CADASTRO V-T e ISS'!N91</f>
        <v>0</v>
      </c>
      <c r="T91" s="604">
        <f>'CADASTRO V-T e ISS'!O91</f>
        <v>0</v>
      </c>
      <c r="U91" s="608">
        <f t="shared" si="8"/>
        <v>24992.082920000004</v>
      </c>
      <c r="V91" s="608">
        <f t="shared" si="9"/>
        <v>499.84165840000009</v>
      </c>
      <c r="W91" s="608">
        <f t="shared" si="10"/>
        <v>25491.924578400005</v>
      </c>
      <c r="X91" s="608">
        <f t="shared" si="11"/>
        <v>611806.18988160009</v>
      </c>
    </row>
    <row r="92" spans="1:24">
      <c r="A92" s="604">
        <f>'CADASTRO V-T e ISS'!A92</f>
        <v>87</v>
      </c>
      <c r="B92" s="605" t="str">
        <f>'CADASTRO V-T e ISS'!B92</f>
        <v>Itapajé</v>
      </c>
      <c r="C92" s="606">
        <f>IF('CADASTRO V-T e ISS'!C92="SIM",'CADASTRO V-T e ISS'!D92*'CADASTRO V-T e ISS'!E92*'CADASTRO V-T e ISS'!F92,0)</f>
        <v>0</v>
      </c>
      <c r="D92" s="607">
        <f>'CADASTRO V-T e ISS'!G92</f>
        <v>0</v>
      </c>
      <c r="E92" s="621">
        <f>(('VALOR POSTOS MÊS '!E40+('VALOR POSTOS MÊS '!E48+'VALOR POSTOS MÊS '!E62+(MAX(0,$C92-0.06*'VALOR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'!$D$149-$D92)</f>
        <v>8428.8640036363649</v>
      </c>
      <c r="F92" s="621">
        <f>(('VALOR POSTOS MÊS '!F40+('VALOR POSTOS MÊS '!F48+'VALOR POSTOS MÊS '!F62+(MAX(0,$C92-0.06*'VALOR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'!$D$149-$D92)</f>
        <v>8281.6094581818197</v>
      </c>
      <c r="G92" s="621">
        <f>(('VALOR POSTOS MÊS '!G40+('VALOR POSTOS MÊS '!G48+'VALOR POSTOS MÊS '!G62+(MAX(0,$C92-0.06*'VALOR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'!$D$149-$D92)</f>
        <v>10267.560367272728</v>
      </c>
      <c r="H92" s="621">
        <f>(('VALOR POSTOS MÊS '!H40+('VALOR POSTOS MÊS '!H48+'VALOR POSTOS MÊS '!H62+(MAX(0,$C92-0.06*'VALOR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'!$D$149-$D92)</f>
        <v>12184.771276363639</v>
      </c>
      <c r="I92" s="621">
        <f>(('VALOR POSTOS MÊS '!I40+('VALOR POSTOS MÊS '!I48+'VALOR POSTOS MÊS '!I62+(MAX(0,$C92-0.06*'VALOR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'!$D$149-$D92)</f>
        <v>15820.113094545455</v>
      </c>
      <c r="J92" s="621">
        <f>(('VALOR POSTOS MÊS '!J40+('VALOR POSTOS MÊS '!J48+'VALOR POSTOS MÊS '!J62+(MAX(0,$C92-0.06*'VALOR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'!$D$149-$D92)</f>
        <v>19964.125821818187</v>
      </c>
      <c r="K92" s="621">
        <f>(('VALOR POSTOS MÊS '!K40+('VALOR POSTOS MÊS '!K48+'VALOR POSTOS MÊS '!K62+(MAX(0,$C92-0.06*'VALOR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'!$D$149-$D92)</f>
        <v>10555.705821818183</v>
      </c>
      <c r="L92" s="621">
        <f>(('VALOR POSTOS MÊS '!L40+('VALOR POSTOS MÊS '!L48+'VALOR POSTOS MÊS '!L62+(MAX(0,$C92-0.06*'VALOR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'!$D$149-$D92)</f>
        <v>10285.696730909092</v>
      </c>
      <c r="M92" s="604">
        <f>'CADASTRO V-T e ISS'!H92</f>
        <v>1</v>
      </c>
      <c r="N92" s="604">
        <f>'CADASTRO V-T e ISS'!I92</f>
        <v>2</v>
      </c>
      <c r="O92" s="604">
        <f>'CADASTRO V-T e ISS'!J92</f>
        <v>0</v>
      </c>
      <c r="P92" s="604">
        <f>'CADASTRO V-T e ISS'!K92</f>
        <v>0</v>
      </c>
      <c r="Q92" s="604">
        <f>'CADASTRO V-T e ISS'!L92</f>
        <v>0</v>
      </c>
      <c r="R92" s="604">
        <f>'CADASTRO V-T e ISS'!M92</f>
        <v>0</v>
      </c>
      <c r="S92" s="604">
        <f>'CADASTRO V-T e ISS'!N92</f>
        <v>0</v>
      </c>
      <c r="T92" s="604">
        <f>'CADASTRO V-T e ISS'!O92</f>
        <v>0</v>
      </c>
      <c r="U92" s="608">
        <f t="shared" si="8"/>
        <v>24992.082920000004</v>
      </c>
      <c r="V92" s="608">
        <f t="shared" si="9"/>
        <v>499.84165840000009</v>
      </c>
      <c r="W92" s="608">
        <f t="shared" si="10"/>
        <v>25491.924578400005</v>
      </c>
      <c r="X92" s="608">
        <f t="shared" si="11"/>
        <v>611806.18988160009</v>
      </c>
    </row>
    <row r="93" spans="1:24">
      <c r="A93" s="604">
        <f>'CADASTRO V-T e ISS'!A93</f>
        <v>88</v>
      </c>
      <c r="B93" s="605" t="str">
        <f>'CADASTRO V-T e ISS'!B93</f>
        <v>Itapipoca</v>
      </c>
      <c r="C93" s="606">
        <f>IF('CADASTRO V-T e ISS'!C93="SIM",'CADASTRO V-T e ISS'!D93*'CADASTRO V-T e ISS'!E93*'CADASTRO V-T e ISS'!F93,0)</f>
        <v>0</v>
      </c>
      <c r="D93" s="607">
        <f>'CADASTRO V-T e ISS'!G93</f>
        <v>0</v>
      </c>
      <c r="E93" s="621">
        <f>(('VALOR POSTOS MÊS '!E40+('VALOR POSTOS MÊS '!E48+'VALOR POSTOS MÊS '!E62+(MAX(0,$C93-0.06*'VALOR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'!$D$149-$D93)</f>
        <v>8428.8640036363649</v>
      </c>
      <c r="F93" s="621">
        <f>(('VALOR POSTOS MÊS '!F40+('VALOR POSTOS MÊS '!F48+'VALOR POSTOS MÊS '!F62+(MAX(0,$C93-0.06*'VALOR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'!$D$149-$D93)</f>
        <v>8281.6094581818197</v>
      </c>
      <c r="G93" s="621">
        <f>(('VALOR POSTOS MÊS '!G40+('VALOR POSTOS MÊS '!G48+'VALOR POSTOS MÊS '!G62+(MAX(0,$C93-0.06*'VALOR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'!$D$149-$D93)</f>
        <v>10267.560367272728</v>
      </c>
      <c r="H93" s="621">
        <f>(('VALOR POSTOS MÊS '!H40+('VALOR POSTOS MÊS '!H48+'VALOR POSTOS MÊS '!H62+(MAX(0,$C93-0.06*'VALOR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'!$D$149-$D93)</f>
        <v>12184.771276363639</v>
      </c>
      <c r="I93" s="621">
        <f>(('VALOR POSTOS MÊS '!I40+('VALOR POSTOS MÊS '!I48+'VALOR POSTOS MÊS '!I62+(MAX(0,$C93-0.06*'VALOR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'!$D$149-$D93)</f>
        <v>15820.113094545455</v>
      </c>
      <c r="J93" s="621">
        <f>(('VALOR POSTOS MÊS '!J40+('VALOR POSTOS MÊS '!J48+'VALOR POSTOS MÊS '!J62+(MAX(0,$C93-0.06*'VALOR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'!$D$149-$D93)</f>
        <v>19964.125821818187</v>
      </c>
      <c r="K93" s="621">
        <f>(('VALOR POSTOS MÊS '!K40+('VALOR POSTOS MÊS '!K48+'VALOR POSTOS MÊS '!K62+(MAX(0,$C93-0.06*'VALOR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'!$D$149-$D93)</f>
        <v>10555.705821818183</v>
      </c>
      <c r="L93" s="621">
        <f>(('VALOR POSTOS MÊS '!L40+('VALOR POSTOS MÊS '!L48+'VALOR POSTOS MÊS '!L62+(MAX(0,$C93-0.06*'VALOR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'!$D$149-$D93)</f>
        <v>10285.696730909092</v>
      </c>
      <c r="M93" s="604">
        <f>'CADASTRO V-T e ISS'!H93</f>
        <v>1</v>
      </c>
      <c r="N93" s="604">
        <f>'CADASTRO V-T e ISS'!I93</f>
        <v>2</v>
      </c>
      <c r="O93" s="604">
        <f>'CADASTRO V-T e ISS'!J93</f>
        <v>0</v>
      </c>
      <c r="P93" s="604">
        <f>'CADASTRO V-T e ISS'!K93</f>
        <v>0</v>
      </c>
      <c r="Q93" s="604">
        <f>'CADASTRO V-T e ISS'!L93</f>
        <v>0</v>
      </c>
      <c r="R93" s="604">
        <f>'CADASTRO V-T e ISS'!M93</f>
        <v>0</v>
      </c>
      <c r="S93" s="604">
        <f>'CADASTRO V-T e ISS'!N93</f>
        <v>0</v>
      </c>
      <c r="T93" s="604">
        <f>'CADASTRO V-T e ISS'!O93</f>
        <v>0</v>
      </c>
      <c r="U93" s="608">
        <f t="shared" si="8"/>
        <v>24992.082920000004</v>
      </c>
      <c r="V93" s="608">
        <f t="shared" si="9"/>
        <v>499.84165840000009</v>
      </c>
      <c r="W93" s="608">
        <f t="shared" si="10"/>
        <v>25491.924578400005</v>
      </c>
      <c r="X93" s="608">
        <f t="shared" si="11"/>
        <v>611806.18988160009</v>
      </c>
    </row>
    <row r="94" spans="1:24">
      <c r="A94" s="604">
        <f>'CADASTRO V-T e ISS'!A94</f>
        <v>89</v>
      </c>
      <c r="B94" s="605" t="str">
        <f>'CADASTRO V-T e ISS'!B94</f>
        <v>Itapiúna</v>
      </c>
      <c r="C94" s="606">
        <f>IF('CADASTRO V-T e ISS'!C94="SIM",'CADASTRO V-T e ISS'!D94*'CADASTRO V-T e ISS'!E94*'CADASTRO V-T e ISS'!F94,0)</f>
        <v>0</v>
      </c>
      <c r="D94" s="607">
        <f>'CADASTRO V-T e ISS'!G94</f>
        <v>0</v>
      </c>
      <c r="E94" s="621">
        <f>(('VALOR POSTOS MÊS '!E40+('VALOR POSTOS MÊS '!E48+'VALOR POSTOS MÊS '!E62+(MAX(0,$C94-0.06*'VALOR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'!$D$149-$D94)</f>
        <v>8428.8640036363649</v>
      </c>
      <c r="F94" s="621">
        <f>(('VALOR POSTOS MÊS '!F40+('VALOR POSTOS MÊS '!F48+'VALOR POSTOS MÊS '!F62+(MAX(0,$C94-0.06*'VALOR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'!$D$149-$D94)</f>
        <v>8281.6094581818197</v>
      </c>
      <c r="G94" s="621">
        <f>(('VALOR POSTOS MÊS '!G40+('VALOR POSTOS MÊS '!G48+'VALOR POSTOS MÊS '!G62+(MAX(0,$C94-0.06*'VALOR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'!$D$149-$D94)</f>
        <v>10267.560367272728</v>
      </c>
      <c r="H94" s="621">
        <f>(('VALOR POSTOS MÊS '!H40+('VALOR POSTOS MÊS '!H48+'VALOR POSTOS MÊS '!H62+(MAX(0,$C94-0.06*'VALOR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'!$D$149-$D94)</f>
        <v>12184.771276363639</v>
      </c>
      <c r="I94" s="621">
        <f>(('VALOR POSTOS MÊS '!I40+('VALOR POSTOS MÊS '!I48+'VALOR POSTOS MÊS '!I62+(MAX(0,$C94-0.06*'VALOR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'!$D$149-$D94)</f>
        <v>15820.113094545455</v>
      </c>
      <c r="J94" s="621">
        <f>(('VALOR POSTOS MÊS '!J40+('VALOR POSTOS MÊS '!J48+'VALOR POSTOS MÊS '!J62+(MAX(0,$C94-0.06*'VALOR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'!$D$149-$D94)</f>
        <v>19964.125821818187</v>
      </c>
      <c r="K94" s="621">
        <f>(('VALOR POSTOS MÊS '!K40+('VALOR POSTOS MÊS '!K48+'VALOR POSTOS MÊS '!K62+(MAX(0,$C94-0.06*'VALOR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'!$D$149-$D94)</f>
        <v>10555.705821818183</v>
      </c>
      <c r="L94" s="621">
        <f>(('VALOR POSTOS MÊS '!L40+('VALOR POSTOS MÊS '!L48+'VALOR POSTOS MÊS '!L62+(MAX(0,$C94-0.06*'VALOR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'!$D$149-$D94)</f>
        <v>10285.696730909092</v>
      </c>
      <c r="M94" s="604">
        <f>'CADASTRO V-T e ISS'!H94</f>
        <v>0</v>
      </c>
      <c r="N94" s="604">
        <f>'CADASTRO V-T e ISS'!I94</f>
        <v>0</v>
      </c>
      <c r="O94" s="604">
        <f>'CADASTRO V-T e ISS'!J94</f>
        <v>0</v>
      </c>
      <c r="P94" s="604">
        <f>'CADASTRO V-T e ISS'!K94</f>
        <v>0</v>
      </c>
      <c r="Q94" s="604">
        <f>'CADASTRO V-T e ISS'!L94</f>
        <v>0</v>
      </c>
      <c r="R94" s="604">
        <f>'CADASTRO V-T e ISS'!M94</f>
        <v>0</v>
      </c>
      <c r="S94" s="604">
        <f>'CADASTRO V-T e ISS'!N94</f>
        <v>0</v>
      </c>
      <c r="T94" s="604">
        <f>'CADASTRO V-T e ISS'!O94</f>
        <v>0</v>
      </c>
      <c r="U94" s="608">
        <f t="shared" si="8"/>
        <v>0</v>
      </c>
      <c r="V94" s="608">
        <f t="shared" si="9"/>
        <v>0</v>
      </c>
      <c r="W94" s="608">
        <f t="shared" si="10"/>
        <v>0</v>
      </c>
      <c r="X94" s="608">
        <f t="shared" si="11"/>
        <v>0</v>
      </c>
    </row>
    <row r="95" spans="1:24">
      <c r="A95" s="604">
        <f>'CADASTRO V-T e ISS'!A95</f>
        <v>90</v>
      </c>
      <c r="B95" s="605" t="str">
        <f>'CADASTRO V-T e ISS'!B95</f>
        <v>Itarema</v>
      </c>
      <c r="C95" s="606">
        <f>IF('CADASTRO V-T e ISS'!C95="SIM",'CADASTRO V-T e ISS'!D95*'CADASTRO V-T e ISS'!E95*'CADASTRO V-T e ISS'!F95,0)</f>
        <v>0</v>
      </c>
      <c r="D95" s="607">
        <f>'CADASTRO V-T e ISS'!G95</f>
        <v>0</v>
      </c>
      <c r="E95" s="621">
        <f>(('VALOR POSTOS MÊS '!E40+('VALOR POSTOS MÊS '!E48+'VALOR POSTOS MÊS '!E62+(MAX(0,$C95-0.06*'VALOR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'!$D$149-$D95)</f>
        <v>8428.8640036363649</v>
      </c>
      <c r="F95" s="621">
        <f>(('VALOR POSTOS MÊS '!F40+('VALOR POSTOS MÊS '!F48+'VALOR POSTOS MÊS '!F62+(MAX(0,$C95-0.06*'VALOR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'!$D$149-$D95)</f>
        <v>8281.6094581818197</v>
      </c>
      <c r="G95" s="621">
        <f>(('VALOR POSTOS MÊS '!G40+('VALOR POSTOS MÊS '!G48+'VALOR POSTOS MÊS '!G62+(MAX(0,$C95-0.06*'VALOR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'!$D$149-$D95)</f>
        <v>10267.560367272728</v>
      </c>
      <c r="H95" s="621">
        <f>(('VALOR POSTOS MÊS '!H40+('VALOR POSTOS MÊS '!H48+'VALOR POSTOS MÊS '!H62+(MAX(0,$C95-0.06*'VALOR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'!$D$149-$D95)</f>
        <v>12184.771276363639</v>
      </c>
      <c r="I95" s="621">
        <f>(('VALOR POSTOS MÊS '!I40+('VALOR POSTOS MÊS '!I48+'VALOR POSTOS MÊS '!I62+(MAX(0,$C95-0.06*'VALOR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'!$D$149-$D95)</f>
        <v>15820.113094545455</v>
      </c>
      <c r="J95" s="621">
        <f>(('VALOR POSTOS MÊS '!J40+('VALOR POSTOS MÊS '!J48+'VALOR POSTOS MÊS '!J62+(MAX(0,$C95-0.06*'VALOR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'!$D$149-$D95)</f>
        <v>19964.125821818187</v>
      </c>
      <c r="K95" s="621">
        <f>(('VALOR POSTOS MÊS '!K40+('VALOR POSTOS MÊS '!K48+'VALOR POSTOS MÊS '!K62+(MAX(0,$C95-0.06*'VALOR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'!$D$149-$D95)</f>
        <v>10555.705821818183</v>
      </c>
      <c r="L95" s="621">
        <f>(('VALOR POSTOS MÊS '!L40+('VALOR POSTOS MÊS '!L48+'VALOR POSTOS MÊS '!L62+(MAX(0,$C95-0.06*'VALOR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'!$D$149-$D95)</f>
        <v>10285.696730909092</v>
      </c>
      <c r="M95" s="604">
        <f>'CADASTRO V-T e ISS'!H95</f>
        <v>1</v>
      </c>
      <c r="N95" s="604">
        <f>'CADASTRO V-T e ISS'!I95</f>
        <v>1</v>
      </c>
      <c r="O95" s="604">
        <f>'CADASTRO V-T e ISS'!J95</f>
        <v>0</v>
      </c>
      <c r="P95" s="604">
        <f>'CADASTRO V-T e ISS'!K95</f>
        <v>0</v>
      </c>
      <c r="Q95" s="604">
        <f>'CADASTRO V-T e ISS'!L95</f>
        <v>0</v>
      </c>
      <c r="R95" s="604">
        <f>'CADASTRO V-T e ISS'!M95</f>
        <v>0</v>
      </c>
      <c r="S95" s="604">
        <f>'CADASTRO V-T e ISS'!N95</f>
        <v>0</v>
      </c>
      <c r="T95" s="604">
        <f>'CADASTRO V-T e ISS'!O95</f>
        <v>0</v>
      </c>
      <c r="U95" s="608">
        <f t="shared" si="8"/>
        <v>16710.473461818183</v>
      </c>
      <c r="V95" s="608">
        <f t="shared" si="9"/>
        <v>334.20946923636365</v>
      </c>
      <c r="W95" s="608">
        <f t="shared" si="10"/>
        <v>17044.682931054547</v>
      </c>
      <c r="X95" s="608">
        <f t="shared" si="11"/>
        <v>409072.39034530916</v>
      </c>
    </row>
    <row r="96" spans="1:24">
      <c r="A96" s="604">
        <f>'CADASTRO V-T e ISS'!A96</f>
        <v>91</v>
      </c>
      <c r="B96" s="605" t="str">
        <f>'CADASTRO V-T e ISS'!B96</f>
        <v>Itatira</v>
      </c>
      <c r="C96" s="606">
        <f>IF('CADASTRO V-T e ISS'!C96="SIM",'CADASTRO V-T e ISS'!D96*'CADASTRO V-T e ISS'!E96*'CADASTRO V-T e ISS'!F96,0)</f>
        <v>0</v>
      </c>
      <c r="D96" s="607">
        <f>'CADASTRO V-T e ISS'!G96</f>
        <v>0</v>
      </c>
      <c r="E96" s="621">
        <f>(('VALOR POSTOS MÊS '!E40+('VALOR POSTOS MÊS '!E48+'VALOR POSTOS MÊS '!E62+(MAX(0,$C96-0.06*'VALOR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'!$D$149-$D96)</f>
        <v>8428.8640036363649</v>
      </c>
      <c r="F96" s="621">
        <f>(('VALOR POSTOS MÊS '!F40+('VALOR POSTOS MÊS '!F48+'VALOR POSTOS MÊS '!F62+(MAX(0,$C96-0.06*'VALOR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'!$D$149-$D96)</f>
        <v>8281.6094581818197</v>
      </c>
      <c r="G96" s="621">
        <f>(('VALOR POSTOS MÊS '!G40+('VALOR POSTOS MÊS '!G48+'VALOR POSTOS MÊS '!G62+(MAX(0,$C96-0.06*'VALOR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'!$D$149-$D96)</f>
        <v>10267.560367272728</v>
      </c>
      <c r="H96" s="621">
        <f>(('VALOR POSTOS MÊS '!H40+('VALOR POSTOS MÊS '!H48+'VALOR POSTOS MÊS '!H62+(MAX(0,$C96-0.06*'VALOR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'!$D$149-$D96)</f>
        <v>12184.771276363639</v>
      </c>
      <c r="I96" s="621">
        <f>(('VALOR POSTOS MÊS '!I40+('VALOR POSTOS MÊS '!I48+'VALOR POSTOS MÊS '!I62+(MAX(0,$C96-0.06*'VALOR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'!$D$149-$D96)</f>
        <v>15820.113094545455</v>
      </c>
      <c r="J96" s="621">
        <f>(('VALOR POSTOS MÊS '!J40+('VALOR POSTOS MÊS '!J48+'VALOR POSTOS MÊS '!J62+(MAX(0,$C96-0.06*'VALOR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'!$D$149-$D96)</f>
        <v>19964.125821818187</v>
      </c>
      <c r="K96" s="621">
        <f>(('VALOR POSTOS MÊS '!K40+('VALOR POSTOS MÊS '!K48+'VALOR POSTOS MÊS '!K62+(MAX(0,$C96-0.06*'VALOR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'!$D$149-$D96)</f>
        <v>10555.705821818183</v>
      </c>
      <c r="L96" s="621">
        <f>(('VALOR POSTOS MÊS '!L40+('VALOR POSTOS MÊS '!L48+'VALOR POSTOS MÊS '!L62+(MAX(0,$C96-0.06*'VALOR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'!$D$149-$D96)</f>
        <v>10285.696730909092</v>
      </c>
      <c r="M96" s="604">
        <f>'CADASTRO V-T e ISS'!H96</f>
        <v>0</v>
      </c>
      <c r="N96" s="604">
        <f>'CADASTRO V-T e ISS'!I96</f>
        <v>0</v>
      </c>
      <c r="O96" s="604">
        <f>'CADASTRO V-T e ISS'!J96</f>
        <v>0</v>
      </c>
      <c r="P96" s="604">
        <f>'CADASTRO V-T e ISS'!K96</f>
        <v>0</v>
      </c>
      <c r="Q96" s="604">
        <f>'CADASTRO V-T e ISS'!L96</f>
        <v>0</v>
      </c>
      <c r="R96" s="604">
        <f>'CADASTRO V-T e ISS'!M96</f>
        <v>0</v>
      </c>
      <c r="S96" s="604">
        <f>'CADASTRO V-T e ISS'!N96</f>
        <v>0</v>
      </c>
      <c r="T96" s="604">
        <f>'CADASTRO V-T e ISS'!O96</f>
        <v>0</v>
      </c>
      <c r="U96" s="608">
        <f t="shared" si="8"/>
        <v>0</v>
      </c>
      <c r="V96" s="608">
        <f t="shared" si="9"/>
        <v>0</v>
      </c>
      <c r="W96" s="608">
        <f t="shared" si="10"/>
        <v>0</v>
      </c>
      <c r="X96" s="608">
        <f t="shared" si="11"/>
        <v>0</v>
      </c>
    </row>
    <row r="97" spans="1:24">
      <c r="A97" s="604">
        <f>'CADASTRO V-T e ISS'!A97</f>
        <v>92</v>
      </c>
      <c r="B97" s="605" t="str">
        <f>'CADASTRO V-T e ISS'!B97</f>
        <v>Jaguaretama</v>
      </c>
      <c r="C97" s="606">
        <f>IF('CADASTRO V-T e ISS'!C97="SIM",'CADASTRO V-T e ISS'!D97*'CADASTRO V-T e ISS'!E97*'CADASTRO V-T e ISS'!F97,0)</f>
        <v>0</v>
      </c>
      <c r="D97" s="607">
        <f>'CADASTRO V-T e ISS'!G97</f>
        <v>0</v>
      </c>
      <c r="E97" s="621">
        <f>(('VALOR POSTOS MÊS '!E40+('VALOR POSTOS MÊS '!E48+'VALOR POSTOS MÊS '!E62+(MAX(0,$C97-0.06*'VALOR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'!$D$149-$D97)</f>
        <v>8428.8640036363649</v>
      </c>
      <c r="F97" s="621">
        <f>(('VALOR POSTOS MÊS '!F40+('VALOR POSTOS MÊS '!F48+'VALOR POSTOS MÊS '!F62+(MAX(0,$C97-0.06*'VALOR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'!$D$149-$D97)</f>
        <v>8281.6094581818197</v>
      </c>
      <c r="G97" s="621">
        <f>(('VALOR POSTOS MÊS '!G40+('VALOR POSTOS MÊS '!G48+'VALOR POSTOS MÊS '!G62+(MAX(0,$C97-0.06*'VALOR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'!$D$149-$D97)</f>
        <v>10267.560367272728</v>
      </c>
      <c r="H97" s="621">
        <f>(('VALOR POSTOS MÊS '!H40+('VALOR POSTOS MÊS '!H48+'VALOR POSTOS MÊS '!H62+(MAX(0,$C97-0.06*'VALOR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'!$D$149-$D97)</f>
        <v>12184.771276363639</v>
      </c>
      <c r="I97" s="621">
        <f>(('VALOR POSTOS MÊS '!I40+('VALOR POSTOS MÊS '!I48+'VALOR POSTOS MÊS '!I62+(MAX(0,$C97-0.06*'VALOR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'!$D$149-$D97)</f>
        <v>15820.113094545455</v>
      </c>
      <c r="J97" s="621">
        <f>(('VALOR POSTOS MÊS '!J40+('VALOR POSTOS MÊS '!J48+'VALOR POSTOS MÊS '!J62+(MAX(0,$C97-0.06*'VALOR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'!$D$149-$D97)</f>
        <v>19964.125821818187</v>
      </c>
      <c r="K97" s="621">
        <f>(('VALOR POSTOS MÊS '!K40+('VALOR POSTOS MÊS '!K48+'VALOR POSTOS MÊS '!K62+(MAX(0,$C97-0.06*'VALOR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'!$D$149-$D97)</f>
        <v>10555.705821818183</v>
      </c>
      <c r="L97" s="621">
        <f>(('VALOR POSTOS MÊS '!L40+('VALOR POSTOS MÊS '!L48+'VALOR POSTOS MÊS '!L62+(MAX(0,$C97-0.06*'VALOR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'!$D$149-$D97)</f>
        <v>10285.696730909092</v>
      </c>
      <c r="M97" s="604">
        <f>'CADASTRO V-T e ISS'!H97</f>
        <v>1</v>
      </c>
      <c r="N97" s="604">
        <f>'CADASTRO V-T e ISS'!I97</f>
        <v>1</v>
      </c>
      <c r="O97" s="604">
        <f>'CADASTRO V-T e ISS'!J97</f>
        <v>0</v>
      </c>
      <c r="P97" s="604">
        <f>'CADASTRO V-T e ISS'!K97</f>
        <v>0</v>
      </c>
      <c r="Q97" s="604">
        <f>'CADASTRO V-T e ISS'!L97</f>
        <v>0</v>
      </c>
      <c r="R97" s="604">
        <f>'CADASTRO V-T e ISS'!M97</f>
        <v>0</v>
      </c>
      <c r="S97" s="604">
        <f>'CADASTRO V-T e ISS'!N97</f>
        <v>0</v>
      </c>
      <c r="T97" s="604">
        <f>'CADASTRO V-T e ISS'!O97</f>
        <v>0</v>
      </c>
      <c r="U97" s="608">
        <f t="shared" si="8"/>
        <v>16710.473461818183</v>
      </c>
      <c r="V97" s="608">
        <f t="shared" si="9"/>
        <v>334.20946923636365</v>
      </c>
      <c r="W97" s="608">
        <f t="shared" si="10"/>
        <v>17044.682931054547</v>
      </c>
      <c r="X97" s="608">
        <f t="shared" si="11"/>
        <v>409072.39034530916</v>
      </c>
    </row>
    <row r="98" spans="1:24">
      <c r="A98" s="604">
        <f>'CADASTRO V-T e ISS'!A98</f>
        <v>93</v>
      </c>
      <c r="B98" s="605" t="str">
        <f>'CADASTRO V-T e ISS'!B98</f>
        <v>Jaguaribara</v>
      </c>
      <c r="C98" s="606">
        <f>IF('CADASTRO V-T e ISS'!C98="SIM",'CADASTRO V-T e ISS'!D98*'CADASTRO V-T e ISS'!E98*'CADASTRO V-T e ISS'!F98,0)</f>
        <v>0</v>
      </c>
      <c r="D98" s="607">
        <f>'CADASTRO V-T e ISS'!G98</f>
        <v>0</v>
      </c>
      <c r="E98" s="621">
        <f>(('VALOR POSTOS MÊS '!E40+('VALOR POSTOS MÊS '!E48+'VALOR POSTOS MÊS '!E62+(MAX(0,$C98-0.06*'VALOR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'!$D$149-$D98)</f>
        <v>8428.8640036363649</v>
      </c>
      <c r="F98" s="621">
        <f>(('VALOR POSTOS MÊS '!F40+('VALOR POSTOS MÊS '!F48+'VALOR POSTOS MÊS '!F62+(MAX(0,$C98-0.06*'VALOR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'!$D$149-$D98)</f>
        <v>8281.6094581818197</v>
      </c>
      <c r="G98" s="621">
        <f>(('VALOR POSTOS MÊS '!G40+('VALOR POSTOS MÊS '!G48+'VALOR POSTOS MÊS '!G62+(MAX(0,$C98-0.06*'VALOR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'!$D$149-$D98)</f>
        <v>10267.560367272728</v>
      </c>
      <c r="H98" s="621">
        <f>(('VALOR POSTOS MÊS '!H40+('VALOR POSTOS MÊS '!H48+'VALOR POSTOS MÊS '!H62+(MAX(0,$C98-0.06*'VALOR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'!$D$149-$D98)</f>
        <v>12184.771276363639</v>
      </c>
      <c r="I98" s="621">
        <f>(('VALOR POSTOS MÊS '!I40+('VALOR POSTOS MÊS '!I48+'VALOR POSTOS MÊS '!I62+(MAX(0,$C98-0.06*'VALOR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'!$D$149-$D98)</f>
        <v>15820.113094545455</v>
      </c>
      <c r="J98" s="621">
        <f>(('VALOR POSTOS MÊS '!J40+('VALOR POSTOS MÊS '!J48+'VALOR POSTOS MÊS '!J62+(MAX(0,$C98-0.06*'VALOR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'!$D$149-$D98)</f>
        <v>19964.125821818187</v>
      </c>
      <c r="K98" s="621">
        <f>(('VALOR POSTOS MÊS '!K40+('VALOR POSTOS MÊS '!K48+'VALOR POSTOS MÊS '!K62+(MAX(0,$C98-0.06*'VALOR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'!$D$149-$D98)</f>
        <v>10555.705821818183</v>
      </c>
      <c r="L98" s="621">
        <f>(('VALOR POSTOS MÊS '!L40+('VALOR POSTOS MÊS '!L48+'VALOR POSTOS MÊS '!L62+(MAX(0,$C98-0.06*'VALOR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'!$D$149-$D98)</f>
        <v>10285.696730909092</v>
      </c>
      <c r="M98" s="604">
        <f>'CADASTRO V-T e ISS'!H98</f>
        <v>0</v>
      </c>
      <c r="N98" s="604">
        <f>'CADASTRO V-T e ISS'!I98</f>
        <v>0</v>
      </c>
      <c r="O98" s="604">
        <f>'CADASTRO V-T e ISS'!J98</f>
        <v>0</v>
      </c>
      <c r="P98" s="604">
        <f>'CADASTRO V-T e ISS'!K98</f>
        <v>0</v>
      </c>
      <c r="Q98" s="604">
        <f>'CADASTRO V-T e ISS'!L98</f>
        <v>0</v>
      </c>
      <c r="R98" s="604">
        <f>'CADASTRO V-T e ISS'!M98</f>
        <v>0</v>
      </c>
      <c r="S98" s="604">
        <f>'CADASTRO V-T e ISS'!N98</f>
        <v>0</v>
      </c>
      <c r="T98" s="604">
        <f>'CADASTRO V-T e ISS'!O98</f>
        <v>0</v>
      </c>
      <c r="U98" s="608">
        <f t="shared" si="8"/>
        <v>0</v>
      </c>
      <c r="V98" s="608">
        <f t="shared" si="9"/>
        <v>0</v>
      </c>
      <c r="W98" s="608">
        <f t="shared" si="10"/>
        <v>0</v>
      </c>
      <c r="X98" s="608">
        <f t="shared" si="11"/>
        <v>0</v>
      </c>
    </row>
    <row r="99" spans="1:24">
      <c r="A99" s="604">
        <f>'CADASTRO V-T e ISS'!A99</f>
        <v>94</v>
      </c>
      <c r="B99" s="605" t="str">
        <f>'CADASTRO V-T e ISS'!B99</f>
        <v>Jaguaribe</v>
      </c>
      <c r="C99" s="606">
        <f>IF('CADASTRO V-T e ISS'!C99="SIM",'CADASTRO V-T e ISS'!D99*'CADASTRO V-T e ISS'!E99*'CADASTRO V-T e ISS'!F99,0)</f>
        <v>0</v>
      </c>
      <c r="D99" s="607">
        <f>'CADASTRO V-T e ISS'!G99</f>
        <v>0</v>
      </c>
      <c r="E99" s="621">
        <f>(('VALOR POSTOS MÊS '!E40+('VALOR POSTOS MÊS '!E48+'VALOR POSTOS MÊS '!E62+(MAX(0,$C99-0.06*'VALOR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'!E62+(MAX(0,$C99-0.06*'VALOR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'!$D$149-$D99)</f>
        <v>8428.8640036363649</v>
      </c>
      <c r="F99" s="621">
        <f>(('VALOR POSTOS MÊS '!F40+('VALOR POSTOS MÊS '!F48+'VALOR POSTOS MÊS '!F62+(MAX(0,$C99-0.06*'VALOR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'!F62+(MAX(0,$C99-0.06*'VALOR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'!$D$149-$D99)</f>
        <v>8281.6094581818197</v>
      </c>
      <c r="G99" s="621">
        <f>(('VALOR POSTOS MÊS '!G40+('VALOR POSTOS MÊS '!G48+'VALOR POSTOS MÊS '!G62+(MAX(0,$C99-0.06*'VALOR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'!G62+(MAX(0,$C99-0.06*'VALOR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'!$D$149-$D99)</f>
        <v>10267.560367272728</v>
      </c>
      <c r="H99" s="621">
        <f>(('VALOR POSTOS MÊS '!H40+('VALOR POSTOS MÊS '!H48+'VALOR POSTOS MÊS '!H62+(MAX(0,$C99-0.06*'VALOR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'!H62+(MAX(0,$C99-0.06*'VALOR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'!$D$149-$D99)</f>
        <v>12184.771276363639</v>
      </c>
      <c r="I99" s="621">
        <f>(('VALOR POSTOS MÊS '!I40+('VALOR POSTOS MÊS '!I48+'VALOR POSTOS MÊS '!I62+(MAX(0,$C99-0.06*'VALOR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'!I62+(MAX(0,$C99-0.06*'VALOR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'!$D$149-$D99)</f>
        <v>15820.113094545455</v>
      </c>
      <c r="J99" s="621">
        <f>(('VALOR POSTOS MÊS '!J40+('VALOR POSTOS MÊS '!J48+'VALOR POSTOS MÊS '!J62+(MAX(0,$C99-0.06*'VALOR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'!J62+(MAX(0,$C99-0.06*'VALOR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'!$D$149-$D99)</f>
        <v>19964.125821818187</v>
      </c>
      <c r="K99" s="621">
        <f>(('VALOR POSTOS MÊS '!K40+('VALOR POSTOS MÊS '!K48+'VALOR POSTOS MÊS '!K62+(MAX(0,$C99-0.06*'VALOR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'!K62+(MAX(0,$C99-0.06*'VALOR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'!$D$149-$D99)</f>
        <v>10555.705821818183</v>
      </c>
      <c r="L99" s="621">
        <f>(('VALOR POSTOS MÊS '!L40+('VALOR POSTOS MÊS '!L48+'VALOR POSTOS MÊS '!L62+(MAX(0,$C99-0.06*'VALOR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'!L62+(MAX(0,$C99-0.06*'VALOR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'!$D$149-$D99)</f>
        <v>10285.696730909092</v>
      </c>
      <c r="M99" s="604">
        <f>'CADASTRO V-T e ISS'!H99</f>
        <v>1</v>
      </c>
      <c r="N99" s="604">
        <f>'CADASTRO V-T e ISS'!I99</f>
        <v>1</v>
      </c>
      <c r="O99" s="604">
        <f>'CADASTRO V-T e ISS'!J99</f>
        <v>0</v>
      </c>
      <c r="P99" s="604">
        <f>'CADASTRO V-T e ISS'!K99</f>
        <v>0</v>
      </c>
      <c r="Q99" s="604">
        <f>'CADASTRO V-T e ISS'!L99</f>
        <v>0</v>
      </c>
      <c r="R99" s="604">
        <f>'CADASTRO V-T e ISS'!M99</f>
        <v>0</v>
      </c>
      <c r="S99" s="604">
        <f>'CADASTRO V-T e ISS'!N99</f>
        <v>0</v>
      </c>
      <c r="T99" s="604">
        <f>'CADASTRO V-T e ISS'!O99</f>
        <v>0</v>
      </c>
      <c r="U99" s="608">
        <f t="shared" si="8"/>
        <v>16710.473461818183</v>
      </c>
      <c r="V99" s="608">
        <f t="shared" si="9"/>
        <v>334.20946923636365</v>
      </c>
      <c r="W99" s="608">
        <f t="shared" si="10"/>
        <v>17044.682931054547</v>
      </c>
      <c r="X99" s="608">
        <f t="shared" si="11"/>
        <v>409072.39034530916</v>
      </c>
    </row>
    <row r="100" spans="1:24">
      <c r="A100" s="604">
        <f>'CADASTRO V-T e ISS'!A100</f>
        <v>95</v>
      </c>
      <c r="B100" s="605" t="str">
        <f>'CADASTRO V-T e ISS'!B100</f>
        <v>Jaguaruana</v>
      </c>
      <c r="C100" s="606">
        <f>IF('CADASTRO V-T e ISS'!C100="SIM",'CADASTRO V-T e ISS'!D100*'CADASTRO V-T e ISS'!E100*'CADASTRO V-T e ISS'!F100,0)</f>
        <v>0</v>
      </c>
      <c r="D100" s="607">
        <f>'CADASTRO V-T e ISS'!G100</f>
        <v>0</v>
      </c>
      <c r="E100" s="621">
        <f>(('VALOR POSTOS MÊS '!E40+('VALOR POSTOS MÊS '!E48+'VALOR POSTOS MÊS '!E62+(MAX(0,$C100-0.06*'VALOR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'!$D$149-$D100)</f>
        <v>8428.8640036363649</v>
      </c>
      <c r="F100" s="621">
        <f>(('VALOR POSTOS MÊS '!F40+('VALOR POSTOS MÊS '!F48+'VALOR POSTOS MÊS '!F62+(MAX(0,$C100-0.06*'VALOR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'!$D$149-$D100)</f>
        <v>8281.6094581818197</v>
      </c>
      <c r="G100" s="621">
        <f>(('VALOR POSTOS MÊS '!G40+('VALOR POSTOS MÊS '!G48+'VALOR POSTOS MÊS '!G62+(MAX(0,$C100-0.06*'VALOR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'!$D$149-$D100)</f>
        <v>10267.560367272728</v>
      </c>
      <c r="H100" s="621">
        <f>(('VALOR POSTOS MÊS '!H40+('VALOR POSTOS MÊS '!H48+'VALOR POSTOS MÊS '!H62+(MAX(0,$C100-0.06*'VALOR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'!$D$149-$D100)</f>
        <v>12184.771276363639</v>
      </c>
      <c r="I100" s="621">
        <f>(('VALOR POSTOS MÊS '!I40+('VALOR POSTOS MÊS '!I48+'VALOR POSTOS MÊS '!I62+(MAX(0,$C100-0.06*'VALOR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'!$D$149-$D100)</f>
        <v>15820.113094545455</v>
      </c>
      <c r="J100" s="621">
        <f>(('VALOR POSTOS MÊS '!J40+('VALOR POSTOS MÊS '!J48+'VALOR POSTOS MÊS '!J62+(MAX(0,$C100-0.06*'VALOR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'!$D$149-$D100)</f>
        <v>19964.125821818187</v>
      </c>
      <c r="K100" s="621">
        <f>(('VALOR POSTOS MÊS '!K40+('VALOR POSTOS MÊS '!K48+'VALOR POSTOS MÊS '!K62+(MAX(0,$C100-0.06*'VALOR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'!$D$149-$D100)</f>
        <v>10555.705821818183</v>
      </c>
      <c r="L100" s="621">
        <f>(('VALOR POSTOS MÊS '!L40+('VALOR POSTOS MÊS '!L48+'VALOR POSTOS MÊS '!L62+(MAX(0,$C100-0.06*'VALOR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'!$D$149-$D100)</f>
        <v>10285.696730909092</v>
      </c>
      <c r="M100" s="604">
        <f>'CADASTRO V-T e ISS'!H100</f>
        <v>1</v>
      </c>
      <c r="N100" s="604">
        <f>'CADASTRO V-T e ISS'!I100</f>
        <v>1</v>
      </c>
      <c r="O100" s="604">
        <f>'CADASTRO V-T e ISS'!J100</f>
        <v>0</v>
      </c>
      <c r="P100" s="604">
        <f>'CADASTRO V-T e ISS'!K100</f>
        <v>0</v>
      </c>
      <c r="Q100" s="604">
        <f>'CADASTRO V-T e ISS'!L100</f>
        <v>0</v>
      </c>
      <c r="R100" s="604">
        <f>'CADASTRO V-T e ISS'!M100</f>
        <v>0</v>
      </c>
      <c r="S100" s="604">
        <f>'CADASTRO V-T e ISS'!N100</f>
        <v>0</v>
      </c>
      <c r="T100" s="604">
        <f>'CADASTRO V-T e ISS'!O100</f>
        <v>0</v>
      </c>
      <c r="U100" s="608">
        <f t="shared" si="8"/>
        <v>16710.473461818183</v>
      </c>
      <c r="V100" s="608">
        <f t="shared" si="9"/>
        <v>334.20946923636365</v>
      </c>
      <c r="W100" s="608">
        <f t="shared" si="10"/>
        <v>17044.682931054547</v>
      </c>
      <c r="X100" s="608">
        <f t="shared" si="11"/>
        <v>409072.39034530916</v>
      </c>
    </row>
    <row r="101" spans="1:24">
      <c r="A101" s="604">
        <f>'CADASTRO V-T e ISS'!A101</f>
        <v>96</v>
      </c>
      <c r="B101" s="605" t="str">
        <f>'CADASTRO V-T e ISS'!B101</f>
        <v>Jardim</v>
      </c>
      <c r="C101" s="606">
        <f>IF('CADASTRO V-T e ISS'!C101="SIM",'CADASTRO V-T e ISS'!D101*'CADASTRO V-T e ISS'!E101*'CADASTRO V-T e ISS'!F101,0)</f>
        <v>0</v>
      </c>
      <c r="D101" s="607">
        <f>'CADASTRO V-T e ISS'!G101</f>
        <v>0</v>
      </c>
      <c r="E101" s="621">
        <f>(('VALOR POSTOS MÊS '!E40+('VALOR POSTOS MÊS '!E48+'VALOR POSTOS MÊS '!E62+(MAX(0,$C101-0.06*'VALOR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'!$D$149-$D101)</f>
        <v>8428.8640036363649</v>
      </c>
      <c r="F101" s="621">
        <f>(('VALOR POSTOS MÊS '!F40+('VALOR POSTOS MÊS '!F48+'VALOR POSTOS MÊS '!F62+(MAX(0,$C101-0.06*'VALOR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'!$D$149-$D101)</f>
        <v>8281.6094581818197</v>
      </c>
      <c r="G101" s="621">
        <f>(('VALOR POSTOS MÊS '!G40+('VALOR POSTOS MÊS '!G48+'VALOR POSTOS MÊS '!G62+(MAX(0,$C101-0.06*'VALOR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'!$D$149-$D101)</f>
        <v>10267.560367272728</v>
      </c>
      <c r="H101" s="621">
        <f>(('VALOR POSTOS MÊS '!H40+('VALOR POSTOS MÊS '!H48+'VALOR POSTOS MÊS '!H62+(MAX(0,$C101-0.06*'VALOR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'!$D$149-$D101)</f>
        <v>12184.771276363639</v>
      </c>
      <c r="I101" s="621">
        <f>(('VALOR POSTOS MÊS '!I40+('VALOR POSTOS MÊS '!I48+'VALOR POSTOS MÊS '!I62+(MAX(0,$C101-0.06*'VALOR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'!$D$149-$D101)</f>
        <v>15820.113094545455</v>
      </c>
      <c r="J101" s="621">
        <f>(('VALOR POSTOS MÊS '!J40+('VALOR POSTOS MÊS '!J48+'VALOR POSTOS MÊS '!J62+(MAX(0,$C101-0.06*'VALOR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'!$D$149-$D101)</f>
        <v>19964.125821818187</v>
      </c>
      <c r="K101" s="621">
        <f>(('VALOR POSTOS MÊS '!K40+('VALOR POSTOS MÊS '!K48+'VALOR POSTOS MÊS '!K62+(MAX(0,$C101-0.06*'VALOR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'!$D$149-$D101)</f>
        <v>10555.705821818183</v>
      </c>
      <c r="L101" s="621">
        <f>(('VALOR POSTOS MÊS '!L40+('VALOR POSTOS MÊS '!L48+'VALOR POSTOS MÊS '!L62+(MAX(0,$C101-0.06*'VALOR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'!$D$149-$D101)</f>
        <v>10285.696730909092</v>
      </c>
      <c r="M101" s="604">
        <f>'CADASTRO V-T e ISS'!H101</f>
        <v>1</v>
      </c>
      <c r="N101" s="604">
        <f>'CADASTRO V-T e ISS'!I101</f>
        <v>1</v>
      </c>
      <c r="O101" s="604">
        <f>'CADASTRO V-T e ISS'!J101</f>
        <v>0</v>
      </c>
      <c r="P101" s="604">
        <f>'CADASTRO V-T e ISS'!K101</f>
        <v>0</v>
      </c>
      <c r="Q101" s="604">
        <f>'CADASTRO V-T e ISS'!L101</f>
        <v>0</v>
      </c>
      <c r="R101" s="604">
        <f>'CADASTRO V-T e ISS'!M101</f>
        <v>0</v>
      </c>
      <c r="S101" s="604">
        <f>'CADASTRO V-T e ISS'!N101</f>
        <v>0</v>
      </c>
      <c r="T101" s="604">
        <f>'CADASTRO V-T e ISS'!O101</f>
        <v>0</v>
      </c>
      <c r="U101" s="608">
        <f t="shared" si="8"/>
        <v>16710.473461818183</v>
      </c>
      <c r="V101" s="608">
        <f t="shared" si="9"/>
        <v>334.20946923636365</v>
      </c>
      <c r="W101" s="608">
        <f t="shared" si="10"/>
        <v>17044.682931054547</v>
      </c>
      <c r="X101" s="608">
        <f t="shared" si="11"/>
        <v>409072.39034530916</v>
      </c>
    </row>
    <row r="102" spans="1:24">
      <c r="A102" s="604">
        <f>'CADASTRO V-T e ISS'!A102</f>
        <v>97</v>
      </c>
      <c r="B102" s="605" t="str">
        <f>'CADASTRO V-T e ISS'!B102</f>
        <v>Jati</v>
      </c>
      <c r="C102" s="606">
        <f>IF('CADASTRO V-T e ISS'!C102="SIM",'CADASTRO V-T e ISS'!D102*'CADASTRO V-T e ISS'!E102*'CADASTRO V-T e ISS'!F102,0)</f>
        <v>0</v>
      </c>
      <c r="D102" s="607">
        <f>'CADASTRO V-T e ISS'!G102</f>
        <v>0</v>
      </c>
      <c r="E102" s="621">
        <f>(('VALOR POSTOS MÊS '!E40+('VALOR POSTOS MÊS '!E48+'VALOR POSTOS MÊS '!E62+(MAX(0,$C102-0.06*'VALOR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'!$D$149-$D102)</f>
        <v>8428.8640036363649</v>
      </c>
      <c r="F102" s="621">
        <f>(('VALOR POSTOS MÊS '!F40+('VALOR POSTOS MÊS '!F48+'VALOR POSTOS MÊS '!F62+(MAX(0,$C102-0.06*'VALOR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'!$D$149-$D102)</f>
        <v>8281.6094581818197</v>
      </c>
      <c r="G102" s="621">
        <f>(('VALOR POSTOS MÊS '!G40+('VALOR POSTOS MÊS '!G48+'VALOR POSTOS MÊS '!G62+(MAX(0,$C102-0.06*'VALOR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'!$D$149-$D102)</f>
        <v>10267.560367272728</v>
      </c>
      <c r="H102" s="621">
        <f>(('VALOR POSTOS MÊS '!H40+('VALOR POSTOS MÊS '!H48+'VALOR POSTOS MÊS '!H62+(MAX(0,$C102-0.06*'VALOR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'!$D$149-$D102)</f>
        <v>12184.771276363639</v>
      </c>
      <c r="I102" s="621">
        <f>(('VALOR POSTOS MÊS '!I40+('VALOR POSTOS MÊS '!I48+'VALOR POSTOS MÊS '!I62+(MAX(0,$C102-0.06*'VALOR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'!$D$149-$D102)</f>
        <v>15820.113094545455</v>
      </c>
      <c r="J102" s="621">
        <f>(('VALOR POSTOS MÊS '!J40+('VALOR POSTOS MÊS '!J48+'VALOR POSTOS MÊS '!J62+(MAX(0,$C102-0.06*'VALOR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'!$D$149-$D102)</f>
        <v>19964.125821818187</v>
      </c>
      <c r="K102" s="621">
        <f>(('VALOR POSTOS MÊS '!K40+('VALOR POSTOS MÊS '!K48+'VALOR POSTOS MÊS '!K62+(MAX(0,$C102-0.06*'VALOR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'!$D$149-$D102)</f>
        <v>10555.705821818183</v>
      </c>
      <c r="L102" s="621">
        <f>(('VALOR POSTOS MÊS '!L40+('VALOR POSTOS MÊS '!L48+'VALOR POSTOS MÊS '!L62+(MAX(0,$C102-0.06*'VALOR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'!$D$149-$D102)</f>
        <v>10285.696730909092</v>
      </c>
      <c r="M102" s="604">
        <f>'CADASTRO V-T e ISS'!H102</f>
        <v>0</v>
      </c>
      <c r="N102" s="604">
        <f>'CADASTRO V-T e ISS'!I102</f>
        <v>0</v>
      </c>
      <c r="O102" s="604">
        <f>'CADASTRO V-T e ISS'!J102</f>
        <v>0</v>
      </c>
      <c r="P102" s="604">
        <f>'CADASTRO V-T e ISS'!K102</f>
        <v>0</v>
      </c>
      <c r="Q102" s="604">
        <f>'CADASTRO V-T e ISS'!L102</f>
        <v>0</v>
      </c>
      <c r="R102" s="604">
        <f>'CADASTRO V-T e ISS'!M102</f>
        <v>0</v>
      </c>
      <c r="S102" s="604">
        <f>'CADASTRO V-T e ISS'!N102</f>
        <v>0</v>
      </c>
      <c r="T102" s="604">
        <f>'CADASTRO V-T e ISS'!O102</f>
        <v>0</v>
      </c>
      <c r="U102" s="608">
        <f t="shared" ref="U102:U133" si="12">SUMPRODUCT(E102:L102,M102:T102)</f>
        <v>0</v>
      </c>
      <c r="V102" s="608">
        <f t="shared" ref="V102:V133" si="13">U102*0.02</f>
        <v>0</v>
      </c>
      <c r="W102" s="608">
        <f t="shared" ref="W102:W133" si="14">U102+V102</f>
        <v>0</v>
      </c>
      <c r="X102" s="608">
        <f t="shared" ref="X102:X133" si="15">W102*24</f>
        <v>0</v>
      </c>
    </row>
    <row r="103" spans="1:24">
      <c r="A103" s="604">
        <f>'CADASTRO V-T e ISS'!A103</f>
        <v>98</v>
      </c>
      <c r="B103" s="605" t="str">
        <f>'CADASTRO V-T e ISS'!B103</f>
        <v>Jijoca de Jericoacoara</v>
      </c>
      <c r="C103" s="606">
        <f>IF('CADASTRO V-T e ISS'!C103="SIM",'CADASTRO V-T e ISS'!D103*'CADASTRO V-T e ISS'!E103*'CADASTRO V-T e ISS'!F103,0)</f>
        <v>0</v>
      </c>
      <c r="D103" s="607">
        <f>'CADASTRO V-T e ISS'!G103</f>
        <v>0</v>
      </c>
      <c r="E103" s="621">
        <f>(('VALOR POSTOS MÊS '!E40+('VALOR POSTOS MÊS '!E48+'VALOR POSTOS MÊS '!E62+(MAX(0,$C103-0.06*'VALOR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'!$D$149-$D103)</f>
        <v>8428.8640036363649</v>
      </c>
      <c r="F103" s="621">
        <f>(('VALOR POSTOS MÊS '!F40+('VALOR POSTOS MÊS '!F48+'VALOR POSTOS MÊS '!F62+(MAX(0,$C103-0.06*'VALOR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'!$D$149-$D103)</f>
        <v>8281.6094581818197</v>
      </c>
      <c r="G103" s="621">
        <f>(('VALOR POSTOS MÊS '!G40+('VALOR POSTOS MÊS '!G48+'VALOR POSTOS MÊS '!G62+(MAX(0,$C103-0.06*'VALOR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'!$D$149-$D103)</f>
        <v>10267.560367272728</v>
      </c>
      <c r="H103" s="621">
        <f>(('VALOR POSTOS MÊS '!H40+('VALOR POSTOS MÊS '!H48+'VALOR POSTOS MÊS '!H62+(MAX(0,$C103-0.06*'VALOR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'!$D$149-$D103)</f>
        <v>12184.771276363639</v>
      </c>
      <c r="I103" s="621">
        <f>(('VALOR POSTOS MÊS '!I40+('VALOR POSTOS MÊS '!I48+'VALOR POSTOS MÊS '!I62+(MAX(0,$C103-0.06*'VALOR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'!$D$149-$D103)</f>
        <v>15820.113094545455</v>
      </c>
      <c r="J103" s="621">
        <f>(('VALOR POSTOS MÊS '!J40+('VALOR POSTOS MÊS '!J48+'VALOR POSTOS MÊS '!J62+(MAX(0,$C103-0.06*'VALOR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'!$D$149-$D103)</f>
        <v>19964.125821818187</v>
      </c>
      <c r="K103" s="621">
        <f>(('VALOR POSTOS MÊS '!K40+('VALOR POSTOS MÊS '!K48+'VALOR POSTOS MÊS '!K62+(MAX(0,$C103-0.06*'VALOR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'!$D$149-$D103)</f>
        <v>10555.705821818183</v>
      </c>
      <c r="L103" s="621">
        <f>(('VALOR POSTOS MÊS '!L40+('VALOR POSTOS MÊS '!L48+'VALOR POSTOS MÊS '!L62+(MAX(0,$C103-0.06*'VALOR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'!$D$149-$D103)</f>
        <v>10285.696730909092</v>
      </c>
      <c r="M103" s="604">
        <f>'CADASTRO V-T e ISS'!H103</f>
        <v>1</v>
      </c>
      <c r="N103" s="604">
        <f>'CADASTRO V-T e ISS'!I103</f>
        <v>1</v>
      </c>
      <c r="O103" s="604">
        <f>'CADASTRO V-T e ISS'!J103</f>
        <v>0</v>
      </c>
      <c r="P103" s="604">
        <f>'CADASTRO V-T e ISS'!K103</f>
        <v>0</v>
      </c>
      <c r="Q103" s="604">
        <f>'CADASTRO V-T e ISS'!L103</f>
        <v>0</v>
      </c>
      <c r="R103" s="604">
        <f>'CADASTRO V-T e ISS'!M103</f>
        <v>0</v>
      </c>
      <c r="S103" s="604">
        <f>'CADASTRO V-T e ISS'!N103</f>
        <v>0</v>
      </c>
      <c r="T103" s="604">
        <f>'CADASTRO V-T e ISS'!O103</f>
        <v>0</v>
      </c>
      <c r="U103" s="608">
        <f t="shared" si="12"/>
        <v>16710.473461818183</v>
      </c>
      <c r="V103" s="608">
        <f t="shared" si="13"/>
        <v>334.20946923636365</v>
      </c>
      <c r="W103" s="608">
        <f t="shared" si="14"/>
        <v>17044.682931054547</v>
      </c>
      <c r="X103" s="608">
        <f t="shared" si="15"/>
        <v>409072.39034530916</v>
      </c>
    </row>
    <row r="104" spans="1:24">
      <c r="A104" s="604">
        <f>'CADASTRO V-T e ISS'!A104</f>
        <v>99</v>
      </c>
      <c r="B104" s="605" t="str">
        <f>'CADASTRO V-T e ISS'!B104</f>
        <v>Juazeiro do Norte</v>
      </c>
      <c r="C104" s="606">
        <f>IF('CADASTRO V-T e ISS'!C104="SIM",'CADASTRO V-T e ISS'!D104*'CADASTRO V-T e ISS'!E104*'CADASTRO V-T e ISS'!F104,0)</f>
        <v>0</v>
      </c>
      <c r="D104" s="607">
        <f>'CADASTRO V-T e ISS'!G104</f>
        <v>0</v>
      </c>
      <c r="E104" s="621">
        <f>(('VALOR POSTOS MÊS '!E40+('VALOR POSTOS MÊS '!E48+'VALOR POSTOS MÊS '!E62+(MAX(0,$C104-0.06*'VALOR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'!$D$149-$D104)</f>
        <v>8428.8640036363649</v>
      </c>
      <c r="F104" s="621">
        <f>(('VALOR POSTOS MÊS '!F40+('VALOR POSTOS MÊS '!F48+'VALOR POSTOS MÊS '!F62+(MAX(0,$C104-0.06*'VALOR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'!$D$149-$D104)</f>
        <v>8281.6094581818197</v>
      </c>
      <c r="G104" s="621">
        <f>(('VALOR POSTOS MÊS '!G40+('VALOR POSTOS MÊS '!G48+'VALOR POSTOS MÊS '!G62+(MAX(0,$C104-0.06*'VALOR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'!$D$149-$D104)</f>
        <v>10267.560367272728</v>
      </c>
      <c r="H104" s="621">
        <f>(('VALOR POSTOS MÊS '!H40+('VALOR POSTOS MÊS '!H48+'VALOR POSTOS MÊS '!H62+(MAX(0,$C104-0.06*'VALOR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'!$D$149-$D104)</f>
        <v>12184.771276363639</v>
      </c>
      <c r="I104" s="621">
        <f>(('VALOR POSTOS MÊS '!I40+('VALOR POSTOS MÊS '!I48+'VALOR POSTOS MÊS '!I62+(MAX(0,$C104-0.06*'VALOR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'!$D$149-$D104)</f>
        <v>15820.113094545455</v>
      </c>
      <c r="J104" s="621">
        <f>(('VALOR POSTOS MÊS '!J40+('VALOR POSTOS MÊS '!J48+'VALOR POSTOS MÊS '!J62+(MAX(0,$C104-0.06*'VALOR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'!$D$149-$D104)</f>
        <v>19964.125821818187</v>
      </c>
      <c r="K104" s="621">
        <f>(('VALOR POSTOS MÊS '!K40+('VALOR POSTOS MÊS '!K48+'VALOR POSTOS MÊS '!K62+(MAX(0,$C104-0.06*'VALOR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'!$D$149-$D104)</f>
        <v>10555.705821818183</v>
      </c>
      <c r="L104" s="621">
        <f>(('VALOR POSTOS MÊS '!L40+('VALOR POSTOS MÊS '!L48+'VALOR POSTOS MÊS '!L62+(MAX(0,$C104-0.06*'VALOR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'!$D$149-$D104)</f>
        <v>10285.696730909092</v>
      </c>
      <c r="M104" s="604">
        <f>'CADASTRO V-T e ISS'!H104</f>
        <v>5</v>
      </c>
      <c r="N104" s="604">
        <f>'CADASTRO V-T e ISS'!I104</f>
        <v>28</v>
      </c>
      <c r="O104" s="604">
        <f>'CADASTRO V-T e ISS'!J104</f>
        <v>1</v>
      </c>
      <c r="P104" s="604">
        <f>'CADASTRO V-T e ISS'!K104</f>
        <v>6</v>
      </c>
      <c r="Q104" s="604">
        <f>'CADASTRO V-T e ISS'!L104</f>
        <v>1</v>
      </c>
      <c r="R104" s="604">
        <f>'CADASTRO V-T e ISS'!M104</f>
        <v>0</v>
      </c>
      <c r="S104" s="604">
        <f>'CADASTRO V-T e ISS'!N104</f>
        <v>1</v>
      </c>
      <c r="T104" s="604">
        <f>'CADASTRO V-T e ISS'!O104</f>
        <v>0</v>
      </c>
      <c r="U104" s="608">
        <f t="shared" si="12"/>
        <v>383781.39178909094</v>
      </c>
      <c r="V104" s="608">
        <f t="shared" si="13"/>
        <v>7675.6278357818192</v>
      </c>
      <c r="W104" s="608">
        <f t="shared" si="14"/>
        <v>391457.01962487277</v>
      </c>
      <c r="X104" s="608">
        <f t="shared" si="15"/>
        <v>9394968.4709969461</v>
      </c>
    </row>
    <row r="105" spans="1:24">
      <c r="A105" s="604">
        <f>'CADASTRO V-T e ISS'!A105</f>
        <v>100</v>
      </c>
      <c r="B105" s="605" t="str">
        <f>'CADASTRO V-T e ISS'!B105</f>
        <v>Jucás</v>
      </c>
      <c r="C105" s="606">
        <f>IF('CADASTRO V-T e ISS'!C105="SIM",'CADASTRO V-T e ISS'!D105*'CADASTRO V-T e ISS'!E105*'CADASTRO V-T e ISS'!F105,0)</f>
        <v>0</v>
      </c>
      <c r="D105" s="607">
        <f>'CADASTRO V-T e ISS'!G105</f>
        <v>0</v>
      </c>
      <c r="E105" s="621">
        <f>(('VALOR POSTOS MÊS '!E40+('VALOR POSTOS MÊS '!E48+'VALOR POSTOS MÊS '!E62+(MAX(0,$C105-0.06*'VALOR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'!$D$149-$D105)</f>
        <v>8428.8640036363649</v>
      </c>
      <c r="F105" s="621">
        <f>(('VALOR POSTOS MÊS '!F40+('VALOR POSTOS MÊS '!F48+'VALOR POSTOS MÊS '!F62+(MAX(0,$C105-0.06*'VALOR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'!$D$149-$D105)</f>
        <v>8281.6094581818197</v>
      </c>
      <c r="G105" s="621">
        <f>(('VALOR POSTOS MÊS '!G40+('VALOR POSTOS MÊS '!G48+'VALOR POSTOS MÊS '!G62+(MAX(0,$C105-0.06*'VALOR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'!$D$149-$D105)</f>
        <v>10267.560367272728</v>
      </c>
      <c r="H105" s="621">
        <f>(('VALOR POSTOS MÊS '!H40+('VALOR POSTOS MÊS '!H48+'VALOR POSTOS MÊS '!H62+(MAX(0,$C105-0.06*'VALOR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'!$D$149-$D105)</f>
        <v>12184.771276363639</v>
      </c>
      <c r="I105" s="621">
        <f>(('VALOR POSTOS MÊS '!I40+('VALOR POSTOS MÊS '!I48+'VALOR POSTOS MÊS '!I62+(MAX(0,$C105-0.06*'VALOR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'!$D$149-$D105)</f>
        <v>15820.113094545455</v>
      </c>
      <c r="J105" s="621">
        <f>(('VALOR POSTOS MÊS '!J40+('VALOR POSTOS MÊS '!J48+'VALOR POSTOS MÊS '!J62+(MAX(0,$C105-0.06*'VALOR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'!$D$149-$D105)</f>
        <v>19964.125821818187</v>
      </c>
      <c r="K105" s="621">
        <f>(('VALOR POSTOS MÊS '!K40+('VALOR POSTOS MÊS '!K48+'VALOR POSTOS MÊS '!K62+(MAX(0,$C105-0.06*'VALOR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'!$D$149-$D105)</f>
        <v>10555.705821818183</v>
      </c>
      <c r="L105" s="621">
        <f>(('VALOR POSTOS MÊS '!L40+('VALOR POSTOS MÊS '!L48+'VALOR POSTOS MÊS '!L62+(MAX(0,$C105-0.06*'VALOR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'!$D$149-$D105)</f>
        <v>10285.696730909092</v>
      </c>
      <c r="M105" s="604">
        <f>'CADASTRO V-T e ISS'!H105</f>
        <v>1</v>
      </c>
      <c r="N105" s="604">
        <f>'CADASTRO V-T e ISS'!I105</f>
        <v>1</v>
      </c>
      <c r="O105" s="604">
        <f>'CADASTRO V-T e ISS'!J105</f>
        <v>0</v>
      </c>
      <c r="P105" s="604">
        <f>'CADASTRO V-T e ISS'!K105</f>
        <v>0</v>
      </c>
      <c r="Q105" s="604">
        <f>'CADASTRO V-T e ISS'!L105</f>
        <v>0</v>
      </c>
      <c r="R105" s="604">
        <f>'CADASTRO V-T e ISS'!M105</f>
        <v>0</v>
      </c>
      <c r="S105" s="604">
        <f>'CADASTRO V-T e ISS'!N105</f>
        <v>0</v>
      </c>
      <c r="T105" s="604">
        <f>'CADASTRO V-T e ISS'!O105</f>
        <v>0</v>
      </c>
      <c r="U105" s="608">
        <f t="shared" si="12"/>
        <v>16710.473461818183</v>
      </c>
      <c r="V105" s="608">
        <f t="shared" si="13"/>
        <v>334.20946923636365</v>
      </c>
      <c r="W105" s="608">
        <f t="shared" si="14"/>
        <v>17044.682931054547</v>
      </c>
      <c r="X105" s="608">
        <f t="shared" si="15"/>
        <v>409072.39034530916</v>
      </c>
    </row>
    <row r="106" spans="1:24">
      <c r="A106" s="604">
        <f>'CADASTRO V-T e ISS'!A106</f>
        <v>101</v>
      </c>
      <c r="B106" s="605" t="str">
        <f>'CADASTRO V-T e ISS'!B106</f>
        <v>Lavras da Mangabeira</v>
      </c>
      <c r="C106" s="606">
        <f>IF('CADASTRO V-T e ISS'!C106="SIM",'CADASTRO V-T e ISS'!D106*'CADASTRO V-T e ISS'!E106*'CADASTRO V-T e ISS'!F106,0)</f>
        <v>0</v>
      </c>
      <c r="D106" s="607">
        <f>'CADASTRO V-T e ISS'!G106</f>
        <v>0</v>
      </c>
      <c r="E106" s="621">
        <f>(('VALOR POSTOS MÊS '!E40+('VALOR POSTOS MÊS '!E48+'VALOR POSTOS MÊS '!E62+(MAX(0,$C106-0.06*'VALOR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'!$D$149-$D106)</f>
        <v>8428.8640036363649</v>
      </c>
      <c r="F106" s="621">
        <f>(('VALOR POSTOS MÊS '!F40+('VALOR POSTOS MÊS '!F48+'VALOR POSTOS MÊS '!F62+(MAX(0,$C106-0.06*'VALOR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'!$D$149-$D106)</f>
        <v>8281.6094581818197</v>
      </c>
      <c r="G106" s="621">
        <f>(('VALOR POSTOS MÊS '!G40+('VALOR POSTOS MÊS '!G48+'VALOR POSTOS MÊS '!G62+(MAX(0,$C106-0.06*'VALOR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'!$D$149-$D106)</f>
        <v>10267.560367272728</v>
      </c>
      <c r="H106" s="621">
        <f>(('VALOR POSTOS MÊS '!H40+('VALOR POSTOS MÊS '!H48+'VALOR POSTOS MÊS '!H62+(MAX(0,$C106-0.06*'VALOR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'!$D$149-$D106)</f>
        <v>12184.771276363639</v>
      </c>
      <c r="I106" s="621">
        <f>(('VALOR POSTOS MÊS '!I40+('VALOR POSTOS MÊS '!I48+'VALOR POSTOS MÊS '!I62+(MAX(0,$C106-0.06*'VALOR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'!$D$149-$D106)</f>
        <v>15820.113094545455</v>
      </c>
      <c r="J106" s="621">
        <f>(('VALOR POSTOS MÊS '!J40+('VALOR POSTOS MÊS '!J48+'VALOR POSTOS MÊS '!J62+(MAX(0,$C106-0.06*'VALOR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'!$D$149-$D106)</f>
        <v>19964.125821818187</v>
      </c>
      <c r="K106" s="621">
        <f>(('VALOR POSTOS MÊS '!K40+('VALOR POSTOS MÊS '!K48+'VALOR POSTOS MÊS '!K62+(MAX(0,$C106-0.06*'VALOR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'!$D$149-$D106)</f>
        <v>10555.705821818183</v>
      </c>
      <c r="L106" s="621">
        <f>(('VALOR POSTOS MÊS '!L40+('VALOR POSTOS MÊS '!L48+'VALOR POSTOS MÊS '!L62+(MAX(0,$C106-0.06*'VALOR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'!$D$149-$D106)</f>
        <v>10285.696730909092</v>
      </c>
      <c r="M106" s="604">
        <f>'CADASTRO V-T e ISS'!H106</f>
        <v>1</v>
      </c>
      <c r="N106" s="604">
        <f>'CADASTRO V-T e ISS'!I106</f>
        <v>2</v>
      </c>
      <c r="O106" s="604">
        <f>'CADASTRO V-T e ISS'!J106</f>
        <v>0</v>
      </c>
      <c r="P106" s="604">
        <f>'CADASTRO V-T e ISS'!K106</f>
        <v>0</v>
      </c>
      <c r="Q106" s="604">
        <f>'CADASTRO V-T e ISS'!L106</f>
        <v>0</v>
      </c>
      <c r="R106" s="604">
        <f>'CADASTRO V-T e ISS'!M106</f>
        <v>0</v>
      </c>
      <c r="S106" s="604">
        <f>'CADASTRO V-T e ISS'!N106</f>
        <v>0</v>
      </c>
      <c r="T106" s="604">
        <f>'CADASTRO V-T e ISS'!O106</f>
        <v>0</v>
      </c>
      <c r="U106" s="608">
        <f t="shared" si="12"/>
        <v>24992.082920000004</v>
      </c>
      <c r="V106" s="608">
        <f t="shared" si="13"/>
        <v>499.84165840000009</v>
      </c>
      <c r="W106" s="608">
        <f t="shared" si="14"/>
        <v>25491.924578400005</v>
      </c>
      <c r="X106" s="608">
        <f t="shared" si="15"/>
        <v>611806.18988160009</v>
      </c>
    </row>
    <row r="107" spans="1:24">
      <c r="A107" s="604">
        <f>'CADASTRO V-T e ISS'!A107</f>
        <v>102</v>
      </c>
      <c r="B107" s="605" t="str">
        <f>'CADASTRO V-T e ISS'!B107</f>
        <v>Limoeiro do Norte</v>
      </c>
      <c r="C107" s="606">
        <f>IF('CADASTRO V-T e ISS'!C107="SIM",'CADASTRO V-T e ISS'!D107*'CADASTRO V-T e ISS'!E107*'CADASTRO V-T e ISS'!F107,0)</f>
        <v>0</v>
      </c>
      <c r="D107" s="607">
        <f>'CADASTRO V-T e ISS'!G107</f>
        <v>0</v>
      </c>
      <c r="E107" s="621">
        <f>(('VALOR POSTOS MÊS '!E40+('VALOR POSTOS MÊS '!E48+'VALOR POSTOS MÊS '!E62+(MAX(0,$C107-0.06*'VALOR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'!$D$149-$D107)</f>
        <v>8428.8640036363649</v>
      </c>
      <c r="F107" s="621">
        <f>(('VALOR POSTOS MÊS '!F40+('VALOR POSTOS MÊS '!F48+'VALOR POSTOS MÊS '!F62+(MAX(0,$C107-0.06*'VALOR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'!$D$149-$D107)</f>
        <v>8281.6094581818197</v>
      </c>
      <c r="G107" s="621">
        <f>(('VALOR POSTOS MÊS '!G40+('VALOR POSTOS MÊS '!G48+'VALOR POSTOS MÊS '!G62+(MAX(0,$C107-0.06*'VALOR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'!$D$149-$D107)</f>
        <v>10267.560367272728</v>
      </c>
      <c r="H107" s="621">
        <f>(('VALOR POSTOS MÊS '!H40+('VALOR POSTOS MÊS '!H48+'VALOR POSTOS MÊS '!H62+(MAX(0,$C107-0.06*'VALOR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'!$D$149-$D107)</f>
        <v>12184.771276363639</v>
      </c>
      <c r="I107" s="621">
        <f>(('VALOR POSTOS MÊS '!I40+('VALOR POSTOS MÊS '!I48+'VALOR POSTOS MÊS '!I62+(MAX(0,$C107-0.06*'VALOR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'!$D$149-$D107)</f>
        <v>15820.113094545455</v>
      </c>
      <c r="J107" s="621">
        <f>(('VALOR POSTOS MÊS '!J40+('VALOR POSTOS MÊS '!J48+'VALOR POSTOS MÊS '!J62+(MAX(0,$C107-0.06*'VALOR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'!$D$149-$D107)</f>
        <v>19964.125821818187</v>
      </c>
      <c r="K107" s="621">
        <f>(('VALOR POSTOS MÊS '!K40+('VALOR POSTOS MÊS '!K48+'VALOR POSTOS MÊS '!K62+(MAX(0,$C107-0.06*'VALOR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'!$D$149-$D107)</f>
        <v>10555.705821818183</v>
      </c>
      <c r="L107" s="621">
        <f>(('VALOR POSTOS MÊS '!L40+('VALOR POSTOS MÊS '!L48+'VALOR POSTOS MÊS '!L62+(MAX(0,$C107-0.06*'VALOR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'!$D$149-$D107)</f>
        <v>10285.696730909092</v>
      </c>
      <c r="M107" s="604">
        <f>'CADASTRO V-T e ISS'!H107</f>
        <v>1</v>
      </c>
      <c r="N107" s="604">
        <f>'CADASTRO V-T e ISS'!I107</f>
        <v>2</v>
      </c>
      <c r="O107" s="604">
        <f>'CADASTRO V-T e ISS'!J107</f>
        <v>0</v>
      </c>
      <c r="P107" s="604">
        <f>'CADASTRO V-T e ISS'!K107</f>
        <v>0</v>
      </c>
      <c r="Q107" s="604">
        <f>'CADASTRO V-T e ISS'!L107</f>
        <v>0</v>
      </c>
      <c r="R107" s="604">
        <f>'CADASTRO V-T e ISS'!M107</f>
        <v>0</v>
      </c>
      <c r="S107" s="604">
        <f>'CADASTRO V-T e ISS'!N107</f>
        <v>0</v>
      </c>
      <c r="T107" s="604">
        <f>'CADASTRO V-T e ISS'!O107</f>
        <v>0</v>
      </c>
      <c r="U107" s="608">
        <f t="shared" si="12"/>
        <v>24992.082920000004</v>
      </c>
      <c r="V107" s="608">
        <f t="shared" si="13"/>
        <v>499.84165840000009</v>
      </c>
      <c r="W107" s="608">
        <f t="shared" si="14"/>
        <v>25491.924578400005</v>
      </c>
      <c r="X107" s="608">
        <f t="shared" si="15"/>
        <v>611806.18988160009</v>
      </c>
    </row>
    <row r="108" spans="1:24">
      <c r="A108" s="604">
        <f>'CADASTRO V-T e ISS'!A108</f>
        <v>103</v>
      </c>
      <c r="B108" s="605" t="str">
        <f>'CADASTRO V-T e ISS'!B108</f>
        <v>Madalena</v>
      </c>
      <c r="C108" s="606">
        <f>IF('CADASTRO V-T e ISS'!C108="SIM",'CADASTRO V-T e ISS'!D108*'CADASTRO V-T e ISS'!E108*'CADASTRO V-T e ISS'!F108,0)</f>
        <v>0</v>
      </c>
      <c r="D108" s="607">
        <f>'CADASTRO V-T e ISS'!G108</f>
        <v>0</v>
      </c>
      <c r="E108" s="621">
        <f>(('VALOR POSTOS MÊS '!E40+('VALOR POSTOS MÊS '!E48+'VALOR POSTOS MÊS '!E62+(MAX(0,$C108-0.06*'VALOR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'!$D$149-$D108)</f>
        <v>8428.8640036363649</v>
      </c>
      <c r="F108" s="621">
        <f>(('VALOR POSTOS MÊS '!F40+('VALOR POSTOS MÊS '!F48+'VALOR POSTOS MÊS '!F62+(MAX(0,$C108-0.06*'VALOR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'!$D$149-$D108)</f>
        <v>8281.6094581818197</v>
      </c>
      <c r="G108" s="621">
        <f>(('VALOR POSTOS MÊS '!G40+('VALOR POSTOS MÊS '!G48+'VALOR POSTOS MÊS '!G62+(MAX(0,$C108-0.06*'VALOR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'!$D$149-$D108)</f>
        <v>10267.560367272728</v>
      </c>
      <c r="H108" s="621">
        <f>(('VALOR POSTOS MÊS '!H40+('VALOR POSTOS MÊS '!H48+'VALOR POSTOS MÊS '!H62+(MAX(0,$C108-0.06*'VALOR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'!$D$149-$D108)</f>
        <v>12184.771276363639</v>
      </c>
      <c r="I108" s="621">
        <f>(('VALOR POSTOS MÊS '!I40+('VALOR POSTOS MÊS '!I48+'VALOR POSTOS MÊS '!I62+(MAX(0,$C108-0.06*'VALOR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'!$D$149-$D108)</f>
        <v>15820.113094545455</v>
      </c>
      <c r="J108" s="621">
        <f>(('VALOR POSTOS MÊS '!J40+('VALOR POSTOS MÊS '!J48+'VALOR POSTOS MÊS '!J62+(MAX(0,$C108-0.06*'VALOR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'!$D$149-$D108)</f>
        <v>19964.125821818187</v>
      </c>
      <c r="K108" s="621">
        <f>(('VALOR POSTOS MÊS '!K40+('VALOR POSTOS MÊS '!K48+'VALOR POSTOS MÊS '!K62+(MAX(0,$C108-0.06*'VALOR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'!$D$149-$D108)</f>
        <v>10555.705821818183</v>
      </c>
      <c r="L108" s="621">
        <f>(('VALOR POSTOS MÊS '!L40+('VALOR POSTOS MÊS '!L48+'VALOR POSTOS MÊS '!L62+(MAX(0,$C108-0.06*'VALOR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'!$D$149-$D108)</f>
        <v>10285.696730909092</v>
      </c>
      <c r="M108" s="604">
        <f>'CADASTRO V-T e ISS'!H108</f>
        <v>0</v>
      </c>
      <c r="N108" s="604">
        <f>'CADASTRO V-T e ISS'!I108</f>
        <v>0</v>
      </c>
      <c r="O108" s="604">
        <f>'CADASTRO V-T e ISS'!J108</f>
        <v>0</v>
      </c>
      <c r="P108" s="604">
        <f>'CADASTRO V-T e ISS'!K108</f>
        <v>0</v>
      </c>
      <c r="Q108" s="604">
        <f>'CADASTRO V-T e ISS'!L108</f>
        <v>0</v>
      </c>
      <c r="R108" s="604">
        <f>'CADASTRO V-T e ISS'!M108</f>
        <v>0</v>
      </c>
      <c r="S108" s="604">
        <f>'CADASTRO V-T e ISS'!N108</f>
        <v>0</v>
      </c>
      <c r="T108" s="604">
        <f>'CADASTRO V-T e ISS'!O108</f>
        <v>0</v>
      </c>
      <c r="U108" s="608">
        <f t="shared" si="12"/>
        <v>0</v>
      </c>
      <c r="V108" s="608">
        <f t="shared" si="13"/>
        <v>0</v>
      </c>
      <c r="W108" s="608">
        <f t="shared" si="14"/>
        <v>0</v>
      </c>
      <c r="X108" s="608">
        <f t="shared" si="15"/>
        <v>0</v>
      </c>
    </row>
    <row r="109" spans="1:24">
      <c r="A109" s="604">
        <f>'CADASTRO V-T e ISS'!A109</f>
        <v>104</v>
      </c>
      <c r="B109" s="605" t="str">
        <f>'CADASTRO V-T e ISS'!B109</f>
        <v>Maracanaú</v>
      </c>
      <c r="C109" s="606">
        <f>IF('CADASTRO V-T e ISS'!C109="SIM",'CADASTRO V-T e ISS'!D109*'CADASTRO V-T e ISS'!E109*'CADASTRO V-T e ISS'!F109,0)</f>
        <v>0</v>
      </c>
      <c r="D109" s="607">
        <f>'CADASTRO V-T e ISS'!G109</f>
        <v>0</v>
      </c>
      <c r="E109" s="621">
        <f>(('VALOR POSTOS MÊS '!E40+('VALOR POSTOS MÊS '!E48+'VALOR POSTOS MÊS '!E62+(MAX(0,$C109-0.06*'VALOR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'!E62+(MAX(0,$C109-0.06*'VALOR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'!$D$149-$D109)</f>
        <v>8428.8640036363649</v>
      </c>
      <c r="F109" s="621">
        <f>(('VALOR POSTOS MÊS '!F40+('VALOR POSTOS MÊS '!F48+'VALOR POSTOS MÊS '!F62+(MAX(0,$C109-0.06*'VALOR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'!F62+(MAX(0,$C109-0.06*'VALOR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'!$D$149-$D109)</f>
        <v>8281.6094581818197</v>
      </c>
      <c r="G109" s="621">
        <f>(('VALOR POSTOS MÊS '!G40+('VALOR POSTOS MÊS '!G48+'VALOR POSTOS MÊS '!G62+(MAX(0,$C109-0.06*'VALOR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'!G62+(MAX(0,$C109-0.06*'VALOR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'!$D$149-$D109)</f>
        <v>10267.560367272728</v>
      </c>
      <c r="H109" s="621">
        <f>(('VALOR POSTOS MÊS '!H40+('VALOR POSTOS MÊS '!H48+'VALOR POSTOS MÊS '!H62+(MAX(0,$C109-0.06*'VALOR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'!H62+(MAX(0,$C109-0.06*'VALOR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'!$D$149-$D109)</f>
        <v>12184.771276363639</v>
      </c>
      <c r="I109" s="621">
        <f>(('VALOR POSTOS MÊS '!I40+('VALOR POSTOS MÊS '!I48+'VALOR POSTOS MÊS '!I62+(MAX(0,$C109-0.06*'VALOR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'!I62+(MAX(0,$C109-0.06*'VALOR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'!$D$149-$D109)</f>
        <v>15820.113094545455</v>
      </c>
      <c r="J109" s="621">
        <f>(('VALOR POSTOS MÊS '!J40+('VALOR POSTOS MÊS '!J48+'VALOR POSTOS MÊS '!J62+(MAX(0,$C109-0.06*'VALOR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'!J62+(MAX(0,$C109-0.06*'VALOR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'!$D$149-$D109)</f>
        <v>19964.125821818187</v>
      </c>
      <c r="K109" s="621">
        <f>(('VALOR POSTOS MÊS '!K40+('VALOR POSTOS MÊS '!K48+'VALOR POSTOS MÊS '!K62+(MAX(0,$C109-0.06*'VALOR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'!K62+(MAX(0,$C109-0.06*'VALOR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'!$D$149-$D109)</f>
        <v>10555.705821818183</v>
      </c>
      <c r="L109" s="621">
        <f>(('VALOR POSTOS MÊS '!L40+('VALOR POSTOS MÊS '!L48+'VALOR POSTOS MÊS '!L62+(MAX(0,$C109-0.06*'VALOR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'!L62+(MAX(0,$C109-0.06*'VALOR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'!$D$149-$D109)</f>
        <v>10285.696730909092</v>
      </c>
      <c r="M109" s="604">
        <f>'CADASTRO V-T e ISS'!H109</f>
        <v>5</v>
      </c>
      <c r="N109" s="604">
        <f>'CADASTRO V-T e ISS'!I109</f>
        <v>8</v>
      </c>
      <c r="O109" s="604">
        <f>'CADASTRO V-T e ISS'!J109</f>
        <v>1</v>
      </c>
      <c r="P109" s="604">
        <f>'CADASTRO V-T e ISS'!K109</f>
        <v>3</v>
      </c>
      <c r="Q109" s="604">
        <f>'CADASTRO V-T e ISS'!L109</f>
        <v>1</v>
      </c>
      <c r="R109" s="604">
        <f>'CADASTRO V-T e ISS'!M109</f>
        <v>0</v>
      </c>
      <c r="S109" s="604">
        <f>'CADASTRO V-T e ISS'!N109</f>
        <v>1</v>
      </c>
      <c r="T109" s="604">
        <f>'CADASTRO V-T e ISS'!O109</f>
        <v>0</v>
      </c>
      <c r="U109" s="608">
        <f t="shared" si="12"/>
        <v>181594.88879636367</v>
      </c>
      <c r="V109" s="608">
        <f t="shared" si="13"/>
        <v>3631.8977759272734</v>
      </c>
      <c r="W109" s="608">
        <f t="shared" si="14"/>
        <v>185226.78657229093</v>
      </c>
      <c r="X109" s="608">
        <f t="shared" si="15"/>
        <v>4445442.8777349824</v>
      </c>
    </row>
    <row r="110" spans="1:24">
      <c r="A110" s="604">
        <f>'CADASTRO V-T e ISS'!A110</f>
        <v>105</v>
      </c>
      <c r="B110" s="605" t="str">
        <f>'CADASTRO V-T e ISS'!B110</f>
        <v>Maranguape</v>
      </c>
      <c r="C110" s="606">
        <f>IF('CADASTRO V-T e ISS'!C110="SIM",'CADASTRO V-T e ISS'!D110*'CADASTRO V-T e ISS'!E110*'CADASTRO V-T e ISS'!F110,0)</f>
        <v>0</v>
      </c>
      <c r="D110" s="607">
        <f>'CADASTRO V-T e ISS'!G110</f>
        <v>0</v>
      </c>
      <c r="E110" s="621">
        <f>(('VALOR POSTOS MÊS '!E40+('VALOR POSTOS MÊS '!E48+'VALOR POSTOS MÊS '!E62+(MAX(0,$C110-0.06*'VALOR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'!$D$149-$D110)</f>
        <v>8428.8640036363649</v>
      </c>
      <c r="F110" s="621">
        <f>(('VALOR POSTOS MÊS '!F40+('VALOR POSTOS MÊS '!F48+'VALOR POSTOS MÊS '!F62+(MAX(0,$C110-0.06*'VALOR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'!$D$149-$D110)</f>
        <v>8281.6094581818197</v>
      </c>
      <c r="G110" s="621">
        <f>(('VALOR POSTOS MÊS '!G40+('VALOR POSTOS MÊS '!G48+'VALOR POSTOS MÊS '!G62+(MAX(0,$C110-0.06*'VALOR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'!$D$149-$D110)</f>
        <v>10267.560367272728</v>
      </c>
      <c r="H110" s="621">
        <f>(('VALOR POSTOS MÊS '!H40+('VALOR POSTOS MÊS '!H48+'VALOR POSTOS MÊS '!H62+(MAX(0,$C110-0.06*'VALOR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'!$D$149-$D110)</f>
        <v>12184.771276363639</v>
      </c>
      <c r="I110" s="621">
        <f>(('VALOR POSTOS MÊS '!I40+('VALOR POSTOS MÊS '!I48+'VALOR POSTOS MÊS '!I62+(MAX(0,$C110-0.06*'VALOR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'!$D$149-$D110)</f>
        <v>15820.113094545455</v>
      </c>
      <c r="J110" s="621">
        <f>(('VALOR POSTOS MÊS '!J40+('VALOR POSTOS MÊS '!J48+'VALOR POSTOS MÊS '!J62+(MAX(0,$C110-0.06*'VALOR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'!$D$149-$D110)</f>
        <v>19964.125821818187</v>
      </c>
      <c r="K110" s="621">
        <f>(('VALOR POSTOS MÊS '!K40+('VALOR POSTOS MÊS '!K48+'VALOR POSTOS MÊS '!K62+(MAX(0,$C110-0.06*'VALOR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'!$D$149-$D110)</f>
        <v>10555.705821818183</v>
      </c>
      <c r="L110" s="621">
        <f>(('VALOR POSTOS MÊS '!L40+('VALOR POSTOS MÊS '!L48+'VALOR POSTOS MÊS '!L62+(MAX(0,$C110-0.06*'VALOR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'!$D$149-$D110)</f>
        <v>10285.696730909092</v>
      </c>
      <c r="M110" s="604">
        <f>'CADASTRO V-T e ISS'!H110</f>
        <v>1</v>
      </c>
      <c r="N110" s="604">
        <f>'CADASTRO V-T e ISS'!I110</f>
        <v>2</v>
      </c>
      <c r="O110" s="604">
        <f>'CADASTRO V-T e ISS'!J110</f>
        <v>0</v>
      </c>
      <c r="P110" s="604">
        <f>'CADASTRO V-T e ISS'!K110</f>
        <v>0</v>
      </c>
      <c r="Q110" s="604">
        <f>'CADASTRO V-T e ISS'!L110</f>
        <v>0</v>
      </c>
      <c r="R110" s="604">
        <f>'CADASTRO V-T e ISS'!M110</f>
        <v>0</v>
      </c>
      <c r="S110" s="604">
        <f>'CADASTRO V-T e ISS'!N110</f>
        <v>0</v>
      </c>
      <c r="T110" s="604">
        <f>'CADASTRO V-T e ISS'!O110</f>
        <v>0</v>
      </c>
      <c r="U110" s="608">
        <f t="shared" si="12"/>
        <v>24992.082920000004</v>
      </c>
      <c r="V110" s="608">
        <f t="shared" si="13"/>
        <v>499.84165840000009</v>
      </c>
      <c r="W110" s="608">
        <f t="shared" si="14"/>
        <v>25491.924578400005</v>
      </c>
      <c r="X110" s="608">
        <f t="shared" si="15"/>
        <v>611806.18988160009</v>
      </c>
    </row>
    <row r="111" spans="1:24">
      <c r="A111" s="604">
        <f>'CADASTRO V-T e ISS'!A111</f>
        <v>106</v>
      </c>
      <c r="B111" s="605" t="str">
        <f>'CADASTRO V-T e ISS'!B111</f>
        <v>Marco</v>
      </c>
      <c r="C111" s="606">
        <f>IF('CADASTRO V-T e ISS'!C111="SIM",'CADASTRO V-T e ISS'!D111*'CADASTRO V-T e ISS'!E111*'CADASTRO V-T e ISS'!F111,0)</f>
        <v>0</v>
      </c>
      <c r="D111" s="607">
        <f>'CADASTRO V-T e ISS'!G111</f>
        <v>0</v>
      </c>
      <c r="E111" s="621">
        <f>(('VALOR POSTOS MÊS '!E40+('VALOR POSTOS MÊS '!E48+'VALOR POSTOS MÊS '!E62+(MAX(0,$C111-0.06*'VALOR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'!$D$149-$D111)</f>
        <v>8428.8640036363649</v>
      </c>
      <c r="F111" s="621">
        <f>(('VALOR POSTOS MÊS '!F40+('VALOR POSTOS MÊS '!F48+'VALOR POSTOS MÊS '!F62+(MAX(0,$C111-0.06*'VALOR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'!$D$149-$D111)</f>
        <v>8281.6094581818197</v>
      </c>
      <c r="G111" s="621">
        <f>(('VALOR POSTOS MÊS '!G40+('VALOR POSTOS MÊS '!G48+'VALOR POSTOS MÊS '!G62+(MAX(0,$C111-0.06*'VALOR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'!$D$149-$D111)</f>
        <v>10267.560367272728</v>
      </c>
      <c r="H111" s="621">
        <f>(('VALOR POSTOS MÊS '!H40+('VALOR POSTOS MÊS '!H48+'VALOR POSTOS MÊS '!H62+(MAX(0,$C111-0.06*'VALOR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'!$D$149-$D111)</f>
        <v>12184.771276363639</v>
      </c>
      <c r="I111" s="621">
        <f>(('VALOR POSTOS MÊS '!I40+('VALOR POSTOS MÊS '!I48+'VALOR POSTOS MÊS '!I62+(MAX(0,$C111-0.06*'VALOR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'!$D$149-$D111)</f>
        <v>15820.113094545455</v>
      </c>
      <c r="J111" s="621">
        <f>(('VALOR POSTOS MÊS '!J40+('VALOR POSTOS MÊS '!J48+'VALOR POSTOS MÊS '!J62+(MAX(0,$C111-0.06*'VALOR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'!$D$149-$D111)</f>
        <v>19964.125821818187</v>
      </c>
      <c r="K111" s="621">
        <f>(('VALOR POSTOS MÊS '!K40+('VALOR POSTOS MÊS '!K48+'VALOR POSTOS MÊS '!K62+(MAX(0,$C111-0.06*'VALOR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'!$D$149-$D111)</f>
        <v>10555.705821818183</v>
      </c>
      <c r="L111" s="621">
        <f>(('VALOR POSTOS MÊS '!L40+('VALOR POSTOS MÊS '!L48+'VALOR POSTOS MÊS '!L62+(MAX(0,$C111-0.06*'VALOR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'!$D$149-$D111)</f>
        <v>10285.696730909092</v>
      </c>
      <c r="M111" s="604">
        <f>'CADASTRO V-T e ISS'!H111</f>
        <v>1</v>
      </c>
      <c r="N111" s="604">
        <f>'CADASTRO V-T e ISS'!I111</f>
        <v>1</v>
      </c>
      <c r="O111" s="604">
        <f>'CADASTRO V-T e ISS'!J111</f>
        <v>0</v>
      </c>
      <c r="P111" s="604">
        <f>'CADASTRO V-T e ISS'!K111</f>
        <v>0</v>
      </c>
      <c r="Q111" s="604">
        <f>'CADASTRO V-T e ISS'!L111</f>
        <v>0</v>
      </c>
      <c r="R111" s="604">
        <f>'CADASTRO V-T e ISS'!M111</f>
        <v>0</v>
      </c>
      <c r="S111" s="604">
        <f>'CADASTRO V-T e ISS'!N111</f>
        <v>0</v>
      </c>
      <c r="T111" s="604">
        <f>'CADASTRO V-T e ISS'!O111</f>
        <v>0</v>
      </c>
      <c r="U111" s="608">
        <f t="shared" si="12"/>
        <v>16710.473461818183</v>
      </c>
      <c r="V111" s="608">
        <f t="shared" si="13"/>
        <v>334.20946923636365</v>
      </c>
      <c r="W111" s="608">
        <f t="shared" si="14"/>
        <v>17044.682931054547</v>
      </c>
      <c r="X111" s="608">
        <f t="shared" si="15"/>
        <v>409072.39034530916</v>
      </c>
    </row>
    <row r="112" spans="1:24">
      <c r="A112" s="604">
        <f>'CADASTRO V-T e ISS'!A112</f>
        <v>107</v>
      </c>
      <c r="B112" s="605" t="str">
        <f>'CADASTRO V-T e ISS'!B112</f>
        <v>Martinópole</v>
      </c>
      <c r="C112" s="606">
        <f>IF('CADASTRO V-T e ISS'!C112="SIM",'CADASTRO V-T e ISS'!D112*'CADASTRO V-T e ISS'!E112*'CADASTRO V-T e ISS'!F112,0)</f>
        <v>0</v>
      </c>
      <c r="D112" s="607">
        <f>'CADASTRO V-T e ISS'!G112</f>
        <v>0</v>
      </c>
      <c r="E112" s="621">
        <f>(('VALOR POSTOS MÊS '!E40+('VALOR POSTOS MÊS '!E48+'VALOR POSTOS MÊS '!E62+(MAX(0,$C112-0.06*'VALOR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'!$D$149-$D112)</f>
        <v>8428.8640036363649</v>
      </c>
      <c r="F112" s="621">
        <f>(('VALOR POSTOS MÊS '!F40+('VALOR POSTOS MÊS '!F48+'VALOR POSTOS MÊS '!F62+(MAX(0,$C112-0.06*'VALOR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'!$D$149-$D112)</f>
        <v>8281.6094581818197</v>
      </c>
      <c r="G112" s="621">
        <f>(('VALOR POSTOS MÊS '!G40+('VALOR POSTOS MÊS '!G48+'VALOR POSTOS MÊS '!G62+(MAX(0,$C112-0.06*'VALOR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'!$D$149-$D112)</f>
        <v>10267.560367272728</v>
      </c>
      <c r="H112" s="621">
        <f>(('VALOR POSTOS MÊS '!H40+('VALOR POSTOS MÊS '!H48+'VALOR POSTOS MÊS '!H62+(MAX(0,$C112-0.06*'VALOR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'!$D$149-$D112)</f>
        <v>12184.771276363639</v>
      </c>
      <c r="I112" s="621">
        <f>(('VALOR POSTOS MÊS '!I40+('VALOR POSTOS MÊS '!I48+'VALOR POSTOS MÊS '!I62+(MAX(0,$C112-0.06*'VALOR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'!$D$149-$D112)</f>
        <v>15820.113094545455</v>
      </c>
      <c r="J112" s="621">
        <f>(('VALOR POSTOS MÊS '!J40+('VALOR POSTOS MÊS '!J48+'VALOR POSTOS MÊS '!J62+(MAX(0,$C112-0.06*'VALOR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'!$D$149-$D112)</f>
        <v>19964.125821818187</v>
      </c>
      <c r="K112" s="621">
        <f>(('VALOR POSTOS MÊS '!K40+('VALOR POSTOS MÊS '!K48+'VALOR POSTOS MÊS '!K62+(MAX(0,$C112-0.06*'VALOR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'!$D$149-$D112)</f>
        <v>10555.705821818183</v>
      </c>
      <c r="L112" s="621">
        <f>(('VALOR POSTOS MÊS '!L40+('VALOR POSTOS MÊS '!L48+'VALOR POSTOS MÊS '!L62+(MAX(0,$C112-0.06*'VALOR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'!$D$149-$D112)</f>
        <v>10285.696730909092</v>
      </c>
      <c r="M112" s="604">
        <f>'CADASTRO V-T e ISS'!H112</f>
        <v>0</v>
      </c>
      <c r="N112" s="604">
        <f>'CADASTRO V-T e ISS'!I112</f>
        <v>0</v>
      </c>
      <c r="O112" s="604">
        <f>'CADASTRO V-T e ISS'!J112</f>
        <v>0</v>
      </c>
      <c r="P112" s="604">
        <f>'CADASTRO V-T e ISS'!K112</f>
        <v>0</v>
      </c>
      <c r="Q112" s="604">
        <f>'CADASTRO V-T e ISS'!L112</f>
        <v>0</v>
      </c>
      <c r="R112" s="604">
        <f>'CADASTRO V-T e ISS'!M112</f>
        <v>0</v>
      </c>
      <c r="S112" s="604">
        <f>'CADASTRO V-T e ISS'!N112</f>
        <v>0</v>
      </c>
      <c r="T112" s="604">
        <f>'CADASTRO V-T e ISS'!O112</f>
        <v>0</v>
      </c>
      <c r="U112" s="608">
        <f t="shared" si="12"/>
        <v>0</v>
      </c>
      <c r="V112" s="608">
        <f t="shared" si="13"/>
        <v>0</v>
      </c>
      <c r="W112" s="608">
        <f t="shared" si="14"/>
        <v>0</v>
      </c>
      <c r="X112" s="608">
        <f t="shared" si="15"/>
        <v>0</v>
      </c>
    </row>
    <row r="113" spans="1:24">
      <c r="A113" s="604">
        <f>'CADASTRO V-T e ISS'!A113</f>
        <v>108</v>
      </c>
      <c r="B113" s="605" t="str">
        <f>'CADASTRO V-T e ISS'!B113</f>
        <v>Massapê</v>
      </c>
      <c r="C113" s="606">
        <f>IF('CADASTRO V-T e ISS'!C113="SIM",'CADASTRO V-T e ISS'!D113*'CADASTRO V-T e ISS'!E113*'CADASTRO V-T e ISS'!F113,0)</f>
        <v>0</v>
      </c>
      <c r="D113" s="607">
        <f>'CADASTRO V-T e ISS'!G113</f>
        <v>0</v>
      </c>
      <c r="E113" s="621">
        <f>(('VALOR POSTOS MÊS '!E40+('VALOR POSTOS MÊS '!E48+'VALOR POSTOS MÊS '!E62+(MAX(0,$C113-0.06*'VALOR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'!$D$149-$D113)</f>
        <v>8428.8640036363649</v>
      </c>
      <c r="F113" s="621">
        <f>(('VALOR POSTOS MÊS '!F40+('VALOR POSTOS MÊS '!F48+'VALOR POSTOS MÊS '!F62+(MAX(0,$C113-0.06*'VALOR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'!$D$149-$D113)</f>
        <v>8281.6094581818197</v>
      </c>
      <c r="G113" s="621">
        <f>(('VALOR POSTOS MÊS '!G40+('VALOR POSTOS MÊS '!G48+'VALOR POSTOS MÊS '!G62+(MAX(0,$C113-0.06*'VALOR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'!$D$149-$D113)</f>
        <v>10267.560367272728</v>
      </c>
      <c r="H113" s="621">
        <f>(('VALOR POSTOS MÊS '!H40+('VALOR POSTOS MÊS '!H48+'VALOR POSTOS MÊS '!H62+(MAX(0,$C113-0.06*'VALOR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'!$D$149-$D113)</f>
        <v>12184.771276363639</v>
      </c>
      <c r="I113" s="621">
        <f>(('VALOR POSTOS MÊS '!I40+('VALOR POSTOS MÊS '!I48+'VALOR POSTOS MÊS '!I62+(MAX(0,$C113-0.06*'VALOR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'!$D$149-$D113)</f>
        <v>15820.113094545455</v>
      </c>
      <c r="J113" s="621">
        <f>(('VALOR POSTOS MÊS '!J40+('VALOR POSTOS MÊS '!J48+'VALOR POSTOS MÊS '!J62+(MAX(0,$C113-0.06*'VALOR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'!$D$149-$D113)</f>
        <v>19964.125821818187</v>
      </c>
      <c r="K113" s="621">
        <f>(('VALOR POSTOS MÊS '!K40+('VALOR POSTOS MÊS '!K48+'VALOR POSTOS MÊS '!K62+(MAX(0,$C113-0.06*'VALOR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'!$D$149-$D113)</f>
        <v>10555.705821818183</v>
      </c>
      <c r="L113" s="621">
        <f>(('VALOR POSTOS MÊS '!L40+('VALOR POSTOS MÊS '!L48+'VALOR POSTOS MÊS '!L62+(MAX(0,$C113-0.06*'VALOR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'!$D$149-$D113)</f>
        <v>10285.696730909092</v>
      </c>
      <c r="M113" s="604">
        <f>'CADASTRO V-T e ISS'!H113</f>
        <v>1</v>
      </c>
      <c r="N113" s="604">
        <f>'CADASTRO V-T e ISS'!I113</f>
        <v>2</v>
      </c>
      <c r="O113" s="604">
        <f>'CADASTRO V-T e ISS'!J113</f>
        <v>0</v>
      </c>
      <c r="P113" s="604">
        <f>'CADASTRO V-T e ISS'!K113</f>
        <v>0</v>
      </c>
      <c r="Q113" s="604">
        <f>'CADASTRO V-T e ISS'!L113</f>
        <v>0</v>
      </c>
      <c r="R113" s="604">
        <f>'CADASTRO V-T e ISS'!M113</f>
        <v>0</v>
      </c>
      <c r="S113" s="604">
        <f>'CADASTRO V-T e ISS'!N113</f>
        <v>0</v>
      </c>
      <c r="T113" s="604">
        <f>'CADASTRO V-T e ISS'!O113</f>
        <v>0</v>
      </c>
      <c r="U113" s="608">
        <f t="shared" si="12"/>
        <v>24992.082920000004</v>
      </c>
      <c r="V113" s="608">
        <f t="shared" si="13"/>
        <v>499.84165840000009</v>
      </c>
      <c r="W113" s="608">
        <f t="shared" si="14"/>
        <v>25491.924578400005</v>
      </c>
      <c r="X113" s="608">
        <f t="shared" si="15"/>
        <v>611806.18988160009</v>
      </c>
    </row>
    <row r="114" spans="1:24">
      <c r="A114" s="604">
        <f>'CADASTRO V-T e ISS'!A114</f>
        <v>109</v>
      </c>
      <c r="B114" s="605" t="str">
        <f>'CADASTRO V-T e ISS'!B114</f>
        <v>Mauriti</v>
      </c>
      <c r="C114" s="606">
        <f>IF('CADASTRO V-T e ISS'!C114="SIM",'CADASTRO V-T e ISS'!D114*'CADASTRO V-T e ISS'!E114*'CADASTRO V-T e ISS'!F114,0)</f>
        <v>0</v>
      </c>
      <c r="D114" s="607">
        <f>'CADASTRO V-T e ISS'!G114</f>
        <v>0</v>
      </c>
      <c r="E114" s="621">
        <f>(('VALOR POSTOS MÊS '!E40+('VALOR POSTOS MÊS '!E48+'VALOR POSTOS MÊS '!E62+(MAX(0,$C114-0.06*'VALOR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'!$D$149-$D114)</f>
        <v>8428.8640036363649</v>
      </c>
      <c r="F114" s="621">
        <f>(('VALOR POSTOS MÊS '!F40+('VALOR POSTOS MÊS '!F48+'VALOR POSTOS MÊS '!F62+(MAX(0,$C114-0.06*'VALOR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'!$D$149-$D114)</f>
        <v>8281.6094581818197</v>
      </c>
      <c r="G114" s="621">
        <f>(('VALOR POSTOS MÊS '!G40+('VALOR POSTOS MÊS '!G48+'VALOR POSTOS MÊS '!G62+(MAX(0,$C114-0.06*'VALOR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'!$D$149-$D114)</f>
        <v>10267.560367272728</v>
      </c>
      <c r="H114" s="621">
        <f>(('VALOR POSTOS MÊS '!H40+('VALOR POSTOS MÊS '!H48+'VALOR POSTOS MÊS '!H62+(MAX(0,$C114-0.06*'VALOR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'!$D$149-$D114)</f>
        <v>12184.771276363639</v>
      </c>
      <c r="I114" s="621">
        <f>(('VALOR POSTOS MÊS '!I40+('VALOR POSTOS MÊS '!I48+'VALOR POSTOS MÊS '!I62+(MAX(0,$C114-0.06*'VALOR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'!$D$149-$D114)</f>
        <v>15820.113094545455</v>
      </c>
      <c r="J114" s="621">
        <f>(('VALOR POSTOS MÊS '!J40+('VALOR POSTOS MÊS '!J48+'VALOR POSTOS MÊS '!J62+(MAX(0,$C114-0.06*'VALOR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'!$D$149-$D114)</f>
        <v>19964.125821818187</v>
      </c>
      <c r="K114" s="621">
        <f>(('VALOR POSTOS MÊS '!K40+('VALOR POSTOS MÊS '!K48+'VALOR POSTOS MÊS '!K62+(MAX(0,$C114-0.06*'VALOR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'!$D$149-$D114)</f>
        <v>10555.705821818183</v>
      </c>
      <c r="L114" s="621">
        <f>(('VALOR POSTOS MÊS '!L40+('VALOR POSTOS MÊS '!L48+'VALOR POSTOS MÊS '!L62+(MAX(0,$C114-0.06*'VALOR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'!$D$149-$D114)</f>
        <v>10285.696730909092</v>
      </c>
      <c r="M114" s="604">
        <f>'CADASTRO V-T e ISS'!H114</f>
        <v>1</v>
      </c>
      <c r="N114" s="604">
        <f>'CADASTRO V-T e ISS'!I114</f>
        <v>1</v>
      </c>
      <c r="O114" s="604">
        <f>'CADASTRO V-T e ISS'!J114</f>
        <v>0</v>
      </c>
      <c r="P114" s="604">
        <f>'CADASTRO V-T e ISS'!K114</f>
        <v>0</v>
      </c>
      <c r="Q114" s="604">
        <f>'CADASTRO V-T e ISS'!L114</f>
        <v>0</v>
      </c>
      <c r="R114" s="604">
        <f>'CADASTRO V-T e ISS'!M114</f>
        <v>0</v>
      </c>
      <c r="S114" s="604">
        <f>'CADASTRO V-T e ISS'!N114</f>
        <v>0</v>
      </c>
      <c r="T114" s="604">
        <f>'CADASTRO V-T e ISS'!O114</f>
        <v>0</v>
      </c>
      <c r="U114" s="608">
        <f t="shared" si="12"/>
        <v>16710.473461818183</v>
      </c>
      <c r="V114" s="608">
        <f t="shared" si="13"/>
        <v>334.20946923636365</v>
      </c>
      <c r="W114" s="608">
        <f t="shared" si="14"/>
        <v>17044.682931054547</v>
      </c>
      <c r="X114" s="608">
        <f t="shared" si="15"/>
        <v>409072.39034530916</v>
      </c>
    </row>
    <row r="115" spans="1:24">
      <c r="A115" s="604">
        <f>'CADASTRO V-T e ISS'!A115</f>
        <v>110</v>
      </c>
      <c r="B115" s="605" t="str">
        <f>'CADASTRO V-T e ISS'!B115</f>
        <v>Meruoca</v>
      </c>
      <c r="C115" s="606">
        <f>IF('CADASTRO V-T e ISS'!C115="SIM",'CADASTRO V-T e ISS'!D115*'CADASTRO V-T e ISS'!E115*'CADASTRO V-T e ISS'!F115,0)</f>
        <v>0</v>
      </c>
      <c r="D115" s="607">
        <f>'CADASTRO V-T e ISS'!G115</f>
        <v>0</v>
      </c>
      <c r="E115" s="621">
        <f>(('VALOR POSTOS MÊS '!E40+('VALOR POSTOS MÊS '!E48+'VALOR POSTOS MÊS '!E62+(MAX(0,$C115-0.06*'VALOR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'!$D$149-$D115)</f>
        <v>8428.8640036363649</v>
      </c>
      <c r="F115" s="621">
        <f>(('VALOR POSTOS MÊS '!F40+('VALOR POSTOS MÊS '!F48+'VALOR POSTOS MÊS '!F62+(MAX(0,$C115-0.06*'VALOR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'!$D$149-$D115)</f>
        <v>8281.6094581818197</v>
      </c>
      <c r="G115" s="621">
        <f>(('VALOR POSTOS MÊS '!G40+('VALOR POSTOS MÊS '!G48+'VALOR POSTOS MÊS '!G62+(MAX(0,$C115-0.06*'VALOR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'!$D$149-$D115)</f>
        <v>10267.560367272728</v>
      </c>
      <c r="H115" s="621">
        <f>(('VALOR POSTOS MÊS '!H40+('VALOR POSTOS MÊS '!H48+'VALOR POSTOS MÊS '!H62+(MAX(0,$C115-0.06*'VALOR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'!$D$149-$D115)</f>
        <v>12184.771276363639</v>
      </c>
      <c r="I115" s="621">
        <f>(('VALOR POSTOS MÊS '!I40+('VALOR POSTOS MÊS '!I48+'VALOR POSTOS MÊS '!I62+(MAX(0,$C115-0.06*'VALOR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'!$D$149-$D115)</f>
        <v>15820.113094545455</v>
      </c>
      <c r="J115" s="621">
        <f>(('VALOR POSTOS MÊS '!J40+('VALOR POSTOS MÊS '!J48+'VALOR POSTOS MÊS '!J62+(MAX(0,$C115-0.06*'VALOR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'!$D$149-$D115)</f>
        <v>19964.125821818187</v>
      </c>
      <c r="K115" s="621">
        <f>(('VALOR POSTOS MÊS '!K40+('VALOR POSTOS MÊS '!K48+'VALOR POSTOS MÊS '!K62+(MAX(0,$C115-0.06*'VALOR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'!$D$149-$D115)</f>
        <v>10555.705821818183</v>
      </c>
      <c r="L115" s="621">
        <f>(('VALOR POSTOS MÊS '!L40+('VALOR POSTOS MÊS '!L48+'VALOR POSTOS MÊS '!L62+(MAX(0,$C115-0.06*'VALOR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'!$D$149-$D115)</f>
        <v>10285.696730909092</v>
      </c>
      <c r="M115" s="604">
        <f>'CADASTRO V-T e ISS'!H115</f>
        <v>0</v>
      </c>
      <c r="N115" s="604">
        <f>'CADASTRO V-T e ISS'!I115</f>
        <v>0</v>
      </c>
      <c r="O115" s="604">
        <f>'CADASTRO V-T e ISS'!J115</f>
        <v>0</v>
      </c>
      <c r="P115" s="604">
        <f>'CADASTRO V-T e ISS'!K115</f>
        <v>0</v>
      </c>
      <c r="Q115" s="604">
        <f>'CADASTRO V-T e ISS'!L115</f>
        <v>0</v>
      </c>
      <c r="R115" s="604">
        <f>'CADASTRO V-T e ISS'!M115</f>
        <v>0</v>
      </c>
      <c r="S115" s="604">
        <f>'CADASTRO V-T e ISS'!N115</f>
        <v>0</v>
      </c>
      <c r="T115" s="604">
        <f>'CADASTRO V-T e ISS'!O115</f>
        <v>0</v>
      </c>
      <c r="U115" s="608">
        <f t="shared" si="12"/>
        <v>0</v>
      </c>
      <c r="V115" s="608">
        <f t="shared" si="13"/>
        <v>0</v>
      </c>
      <c r="W115" s="608">
        <f t="shared" si="14"/>
        <v>0</v>
      </c>
      <c r="X115" s="608">
        <f t="shared" si="15"/>
        <v>0</v>
      </c>
    </row>
    <row r="116" spans="1:24">
      <c r="A116" s="604">
        <f>'CADASTRO V-T e ISS'!A116</f>
        <v>111</v>
      </c>
      <c r="B116" s="605" t="str">
        <f>'CADASTRO V-T e ISS'!B116</f>
        <v>Milagres</v>
      </c>
      <c r="C116" s="606">
        <f>IF('CADASTRO V-T e ISS'!C116="SIM",'CADASTRO V-T e ISS'!D116*'CADASTRO V-T e ISS'!E116*'CADASTRO V-T e ISS'!F116,0)</f>
        <v>0</v>
      </c>
      <c r="D116" s="607">
        <f>'CADASTRO V-T e ISS'!G116</f>
        <v>0</v>
      </c>
      <c r="E116" s="621">
        <f>(('VALOR POSTOS MÊS '!E40+('VALOR POSTOS MÊS '!E48+'VALOR POSTOS MÊS '!E62+(MAX(0,$C116-0.06*'VALOR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'!$D$149-$D116)</f>
        <v>8428.8640036363649</v>
      </c>
      <c r="F116" s="621">
        <f>(('VALOR POSTOS MÊS '!F40+('VALOR POSTOS MÊS '!F48+'VALOR POSTOS MÊS '!F62+(MAX(0,$C116-0.06*'VALOR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'!$D$149-$D116)</f>
        <v>8281.6094581818197</v>
      </c>
      <c r="G116" s="621">
        <f>(('VALOR POSTOS MÊS '!G40+('VALOR POSTOS MÊS '!G48+'VALOR POSTOS MÊS '!G62+(MAX(0,$C116-0.06*'VALOR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'!$D$149-$D116)</f>
        <v>10267.560367272728</v>
      </c>
      <c r="H116" s="621">
        <f>(('VALOR POSTOS MÊS '!H40+('VALOR POSTOS MÊS '!H48+'VALOR POSTOS MÊS '!H62+(MAX(0,$C116-0.06*'VALOR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'!$D$149-$D116)</f>
        <v>12184.771276363639</v>
      </c>
      <c r="I116" s="621">
        <f>(('VALOR POSTOS MÊS '!I40+('VALOR POSTOS MÊS '!I48+'VALOR POSTOS MÊS '!I62+(MAX(0,$C116-0.06*'VALOR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'!$D$149-$D116)</f>
        <v>15820.113094545455</v>
      </c>
      <c r="J116" s="621">
        <f>(('VALOR POSTOS MÊS '!J40+('VALOR POSTOS MÊS '!J48+'VALOR POSTOS MÊS '!J62+(MAX(0,$C116-0.06*'VALOR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'!$D$149-$D116)</f>
        <v>19964.125821818187</v>
      </c>
      <c r="K116" s="621">
        <f>(('VALOR POSTOS MÊS '!K40+('VALOR POSTOS MÊS '!K48+'VALOR POSTOS MÊS '!K62+(MAX(0,$C116-0.06*'VALOR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'!$D$149-$D116)</f>
        <v>10555.705821818183</v>
      </c>
      <c r="L116" s="621">
        <f>(('VALOR POSTOS MÊS '!L40+('VALOR POSTOS MÊS '!L48+'VALOR POSTOS MÊS '!L62+(MAX(0,$C116-0.06*'VALOR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'!$D$149-$D116)</f>
        <v>10285.696730909092</v>
      </c>
      <c r="M116" s="604">
        <f>'CADASTRO V-T e ISS'!H116</f>
        <v>1</v>
      </c>
      <c r="N116" s="604">
        <f>'CADASTRO V-T e ISS'!I116</f>
        <v>1</v>
      </c>
      <c r="O116" s="604">
        <f>'CADASTRO V-T e ISS'!J116</f>
        <v>0</v>
      </c>
      <c r="P116" s="604">
        <f>'CADASTRO V-T e ISS'!K116</f>
        <v>0</v>
      </c>
      <c r="Q116" s="604">
        <f>'CADASTRO V-T e ISS'!L116</f>
        <v>0</v>
      </c>
      <c r="R116" s="604">
        <f>'CADASTRO V-T e ISS'!M116</f>
        <v>0</v>
      </c>
      <c r="S116" s="604">
        <f>'CADASTRO V-T e ISS'!N116</f>
        <v>0</v>
      </c>
      <c r="T116" s="604">
        <f>'CADASTRO V-T e ISS'!O116</f>
        <v>0</v>
      </c>
      <c r="U116" s="608">
        <f t="shared" si="12"/>
        <v>16710.473461818183</v>
      </c>
      <c r="V116" s="608">
        <f t="shared" si="13"/>
        <v>334.20946923636365</v>
      </c>
      <c r="W116" s="608">
        <f t="shared" si="14"/>
        <v>17044.682931054547</v>
      </c>
      <c r="X116" s="608">
        <f t="shared" si="15"/>
        <v>409072.39034530916</v>
      </c>
    </row>
    <row r="117" spans="1:24">
      <c r="A117" s="604">
        <f>'CADASTRO V-T e ISS'!A117</f>
        <v>112</v>
      </c>
      <c r="B117" s="605" t="str">
        <f>'CADASTRO V-T e ISS'!B117</f>
        <v>Milhã</v>
      </c>
      <c r="C117" s="606">
        <f>IF('CADASTRO V-T e ISS'!C117="SIM",'CADASTRO V-T e ISS'!D117*'CADASTRO V-T e ISS'!E117*'CADASTRO V-T e ISS'!F117,0)</f>
        <v>0</v>
      </c>
      <c r="D117" s="607">
        <f>'CADASTRO V-T e ISS'!G117</f>
        <v>0</v>
      </c>
      <c r="E117" s="621">
        <f>(('VALOR POSTOS MÊS '!E40+('VALOR POSTOS MÊS '!E48+'VALOR POSTOS MÊS '!E62+(MAX(0,$C117-0.06*'VALOR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'!$D$149-$D117)</f>
        <v>8428.8640036363649</v>
      </c>
      <c r="F117" s="621">
        <f>(('VALOR POSTOS MÊS '!F40+('VALOR POSTOS MÊS '!F48+'VALOR POSTOS MÊS '!F62+(MAX(0,$C117-0.06*'VALOR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'!$D$149-$D117)</f>
        <v>8281.6094581818197</v>
      </c>
      <c r="G117" s="621">
        <f>(('VALOR POSTOS MÊS '!G40+('VALOR POSTOS MÊS '!G48+'VALOR POSTOS MÊS '!G62+(MAX(0,$C117-0.06*'VALOR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'!$D$149-$D117)</f>
        <v>10267.560367272728</v>
      </c>
      <c r="H117" s="621">
        <f>(('VALOR POSTOS MÊS '!H40+('VALOR POSTOS MÊS '!H48+'VALOR POSTOS MÊS '!H62+(MAX(0,$C117-0.06*'VALOR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'!$D$149-$D117)</f>
        <v>12184.771276363639</v>
      </c>
      <c r="I117" s="621">
        <f>(('VALOR POSTOS MÊS '!I40+('VALOR POSTOS MÊS '!I48+'VALOR POSTOS MÊS '!I62+(MAX(0,$C117-0.06*'VALOR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'!$D$149-$D117)</f>
        <v>15820.113094545455</v>
      </c>
      <c r="J117" s="621">
        <f>(('VALOR POSTOS MÊS '!J40+('VALOR POSTOS MÊS '!J48+'VALOR POSTOS MÊS '!J62+(MAX(0,$C117-0.06*'VALOR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'!$D$149-$D117)</f>
        <v>19964.125821818187</v>
      </c>
      <c r="K117" s="621">
        <f>(('VALOR POSTOS MÊS '!K40+('VALOR POSTOS MÊS '!K48+'VALOR POSTOS MÊS '!K62+(MAX(0,$C117-0.06*'VALOR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'!$D$149-$D117)</f>
        <v>10555.705821818183</v>
      </c>
      <c r="L117" s="621">
        <f>(('VALOR POSTOS MÊS '!L40+('VALOR POSTOS MÊS '!L48+'VALOR POSTOS MÊS '!L62+(MAX(0,$C117-0.06*'VALOR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'!$D$149-$D117)</f>
        <v>10285.696730909092</v>
      </c>
      <c r="M117" s="604">
        <f>'CADASTRO V-T e ISS'!H117</f>
        <v>0</v>
      </c>
      <c r="N117" s="604">
        <f>'CADASTRO V-T e ISS'!I117</f>
        <v>0</v>
      </c>
      <c r="O117" s="604">
        <f>'CADASTRO V-T e ISS'!J117</f>
        <v>0</v>
      </c>
      <c r="P117" s="604">
        <f>'CADASTRO V-T e ISS'!K117</f>
        <v>0</v>
      </c>
      <c r="Q117" s="604">
        <f>'CADASTRO V-T e ISS'!L117</f>
        <v>0</v>
      </c>
      <c r="R117" s="604">
        <f>'CADASTRO V-T e ISS'!M117</f>
        <v>0</v>
      </c>
      <c r="S117" s="604">
        <f>'CADASTRO V-T e ISS'!N117</f>
        <v>0</v>
      </c>
      <c r="T117" s="604">
        <f>'CADASTRO V-T e ISS'!O117</f>
        <v>0</v>
      </c>
      <c r="U117" s="608">
        <f t="shared" si="12"/>
        <v>0</v>
      </c>
      <c r="V117" s="608">
        <f t="shared" si="13"/>
        <v>0</v>
      </c>
      <c r="W117" s="608">
        <f t="shared" si="14"/>
        <v>0</v>
      </c>
      <c r="X117" s="608">
        <f t="shared" si="15"/>
        <v>0</v>
      </c>
    </row>
    <row r="118" spans="1:24">
      <c r="A118" s="604">
        <f>'CADASTRO V-T e ISS'!A118</f>
        <v>113</v>
      </c>
      <c r="B118" s="605" t="str">
        <f>'CADASTRO V-T e ISS'!B118</f>
        <v>Miraíma</v>
      </c>
      <c r="C118" s="606">
        <f>IF('CADASTRO V-T e ISS'!C118="SIM",'CADASTRO V-T e ISS'!D118*'CADASTRO V-T e ISS'!E118*'CADASTRO V-T e ISS'!F118,0)</f>
        <v>0</v>
      </c>
      <c r="D118" s="607">
        <f>'CADASTRO V-T e ISS'!G118</f>
        <v>0</v>
      </c>
      <c r="E118" s="621">
        <f>(('VALOR POSTOS MÊS '!E40+('VALOR POSTOS MÊS '!E48+'VALOR POSTOS MÊS '!E62+(MAX(0,$C118-0.06*'VALOR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'!$D$149-$D118)</f>
        <v>8428.8640036363649</v>
      </c>
      <c r="F118" s="621">
        <f>(('VALOR POSTOS MÊS '!F40+('VALOR POSTOS MÊS '!F48+'VALOR POSTOS MÊS '!F62+(MAX(0,$C118-0.06*'VALOR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'!$D$149-$D118)</f>
        <v>8281.6094581818197</v>
      </c>
      <c r="G118" s="621">
        <f>(('VALOR POSTOS MÊS '!G40+('VALOR POSTOS MÊS '!G48+'VALOR POSTOS MÊS '!G62+(MAX(0,$C118-0.06*'VALOR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'!$D$149-$D118)</f>
        <v>10267.560367272728</v>
      </c>
      <c r="H118" s="621">
        <f>(('VALOR POSTOS MÊS '!H40+('VALOR POSTOS MÊS '!H48+'VALOR POSTOS MÊS '!H62+(MAX(0,$C118-0.06*'VALOR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'!$D$149-$D118)</f>
        <v>12184.771276363639</v>
      </c>
      <c r="I118" s="621">
        <f>(('VALOR POSTOS MÊS '!I40+('VALOR POSTOS MÊS '!I48+'VALOR POSTOS MÊS '!I62+(MAX(0,$C118-0.06*'VALOR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'!$D$149-$D118)</f>
        <v>15820.113094545455</v>
      </c>
      <c r="J118" s="621">
        <f>(('VALOR POSTOS MÊS '!J40+('VALOR POSTOS MÊS '!J48+'VALOR POSTOS MÊS '!J62+(MAX(0,$C118-0.06*'VALOR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'!$D$149-$D118)</f>
        <v>19964.125821818187</v>
      </c>
      <c r="K118" s="621">
        <f>(('VALOR POSTOS MÊS '!K40+('VALOR POSTOS MÊS '!K48+'VALOR POSTOS MÊS '!K62+(MAX(0,$C118-0.06*'VALOR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'!$D$149-$D118)</f>
        <v>10555.705821818183</v>
      </c>
      <c r="L118" s="621">
        <f>(('VALOR POSTOS MÊS '!L40+('VALOR POSTOS MÊS '!L48+'VALOR POSTOS MÊS '!L62+(MAX(0,$C118-0.06*'VALOR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'!$D$149-$D118)</f>
        <v>10285.696730909092</v>
      </c>
      <c r="M118" s="604">
        <f>'CADASTRO V-T e ISS'!H118</f>
        <v>0</v>
      </c>
      <c r="N118" s="604">
        <f>'CADASTRO V-T e ISS'!I118</f>
        <v>0</v>
      </c>
      <c r="O118" s="604">
        <f>'CADASTRO V-T e ISS'!J118</f>
        <v>0</v>
      </c>
      <c r="P118" s="604">
        <f>'CADASTRO V-T e ISS'!K118</f>
        <v>0</v>
      </c>
      <c r="Q118" s="604">
        <f>'CADASTRO V-T e ISS'!L118</f>
        <v>0</v>
      </c>
      <c r="R118" s="604">
        <f>'CADASTRO V-T e ISS'!M118</f>
        <v>0</v>
      </c>
      <c r="S118" s="604">
        <f>'CADASTRO V-T e ISS'!N118</f>
        <v>0</v>
      </c>
      <c r="T118" s="604">
        <f>'CADASTRO V-T e ISS'!O118</f>
        <v>0</v>
      </c>
      <c r="U118" s="608">
        <f t="shared" si="12"/>
        <v>0</v>
      </c>
      <c r="V118" s="608">
        <f t="shared" si="13"/>
        <v>0</v>
      </c>
      <c r="W118" s="608">
        <f t="shared" si="14"/>
        <v>0</v>
      </c>
      <c r="X118" s="608">
        <f t="shared" si="15"/>
        <v>0</v>
      </c>
    </row>
    <row r="119" spans="1:24">
      <c r="A119" s="604">
        <f>'CADASTRO V-T e ISS'!A119</f>
        <v>114</v>
      </c>
      <c r="B119" s="605" t="str">
        <f>'CADASTRO V-T e ISS'!B119</f>
        <v>Missão Velha</v>
      </c>
      <c r="C119" s="606">
        <f>IF('CADASTRO V-T e ISS'!C119="SIM",'CADASTRO V-T e ISS'!D119*'CADASTRO V-T e ISS'!E119*'CADASTRO V-T e ISS'!F119,0)</f>
        <v>0</v>
      </c>
      <c r="D119" s="607">
        <f>'CADASTRO V-T e ISS'!G119</f>
        <v>0</v>
      </c>
      <c r="E119" s="621">
        <f>(('VALOR POSTOS MÊS '!E40+('VALOR POSTOS MÊS '!E48+'VALOR POSTOS MÊS '!E62+(MAX(0,$C119-0.06*'VALOR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'!E62+(MAX(0,$C119-0.06*'VALOR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'!$D$149-$D119)</f>
        <v>8428.8640036363649</v>
      </c>
      <c r="F119" s="621">
        <f>(('VALOR POSTOS MÊS '!F40+('VALOR POSTOS MÊS '!F48+'VALOR POSTOS MÊS '!F62+(MAX(0,$C119-0.06*'VALOR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'!F62+(MAX(0,$C119-0.06*'VALOR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'!$D$149-$D119)</f>
        <v>8281.6094581818197</v>
      </c>
      <c r="G119" s="621">
        <f>(('VALOR POSTOS MÊS '!G40+('VALOR POSTOS MÊS '!G48+'VALOR POSTOS MÊS '!G62+(MAX(0,$C119-0.06*'VALOR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'!G62+(MAX(0,$C119-0.06*'VALOR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'!$D$149-$D119)</f>
        <v>10267.560367272728</v>
      </c>
      <c r="H119" s="621">
        <f>(('VALOR POSTOS MÊS '!H40+('VALOR POSTOS MÊS '!H48+'VALOR POSTOS MÊS '!H62+(MAX(0,$C119-0.06*'VALOR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'!H62+(MAX(0,$C119-0.06*'VALOR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'!$D$149-$D119)</f>
        <v>12184.771276363639</v>
      </c>
      <c r="I119" s="621">
        <f>(('VALOR POSTOS MÊS '!I40+('VALOR POSTOS MÊS '!I48+'VALOR POSTOS MÊS '!I62+(MAX(0,$C119-0.06*'VALOR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'!I62+(MAX(0,$C119-0.06*'VALOR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'!$D$149-$D119)</f>
        <v>15820.113094545455</v>
      </c>
      <c r="J119" s="621">
        <f>(('VALOR POSTOS MÊS '!J40+('VALOR POSTOS MÊS '!J48+'VALOR POSTOS MÊS '!J62+(MAX(0,$C119-0.06*'VALOR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'!J62+(MAX(0,$C119-0.06*'VALOR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'!$D$149-$D119)</f>
        <v>19964.125821818187</v>
      </c>
      <c r="K119" s="621">
        <f>(('VALOR POSTOS MÊS '!K40+('VALOR POSTOS MÊS '!K48+'VALOR POSTOS MÊS '!K62+(MAX(0,$C119-0.06*'VALOR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'!K62+(MAX(0,$C119-0.06*'VALOR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'!$D$149-$D119)</f>
        <v>10555.705821818183</v>
      </c>
      <c r="L119" s="621">
        <f>(('VALOR POSTOS MÊS '!L40+('VALOR POSTOS MÊS '!L48+'VALOR POSTOS MÊS '!L62+(MAX(0,$C119-0.06*'VALOR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'!L62+(MAX(0,$C119-0.06*'VALOR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'!$D$149-$D119)</f>
        <v>10285.696730909092</v>
      </c>
      <c r="M119" s="604">
        <f>'CADASTRO V-T e ISS'!H119</f>
        <v>1</v>
      </c>
      <c r="N119" s="604">
        <f>'CADASTRO V-T e ISS'!I119</f>
        <v>1</v>
      </c>
      <c r="O119" s="604">
        <f>'CADASTRO V-T e ISS'!J119</f>
        <v>0</v>
      </c>
      <c r="P119" s="604">
        <f>'CADASTRO V-T e ISS'!K119</f>
        <v>0</v>
      </c>
      <c r="Q119" s="604">
        <f>'CADASTRO V-T e ISS'!L119</f>
        <v>0</v>
      </c>
      <c r="R119" s="604">
        <f>'CADASTRO V-T e ISS'!M119</f>
        <v>0</v>
      </c>
      <c r="S119" s="604">
        <f>'CADASTRO V-T e ISS'!N119</f>
        <v>0</v>
      </c>
      <c r="T119" s="604">
        <f>'CADASTRO V-T e ISS'!O119</f>
        <v>0</v>
      </c>
      <c r="U119" s="608">
        <f t="shared" si="12"/>
        <v>16710.473461818183</v>
      </c>
      <c r="V119" s="608">
        <f t="shared" si="13"/>
        <v>334.20946923636365</v>
      </c>
      <c r="W119" s="608">
        <f t="shared" si="14"/>
        <v>17044.682931054547</v>
      </c>
      <c r="X119" s="608">
        <f t="shared" si="15"/>
        <v>409072.39034530916</v>
      </c>
    </row>
    <row r="120" spans="1:24">
      <c r="A120" s="604">
        <f>'CADASTRO V-T e ISS'!A120</f>
        <v>115</v>
      </c>
      <c r="B120" s="605" t="str">
        <f>'CADASTRO V-T e ISS'!B120</f>
        <v>Mombaça</v>
      </c>
      <c r="C120" s="606">
        <f>IF('CADASTRO V-T e ISS'!C120="SIM",'CADASTRO V-T e ISS'!D120*'CADASTRO V-T e ISS'!E120*'CADASTRO V-T e ISS'!F120,0)</f>
        <v>0</v>
      </c>
      <c r="D120" s="607">
        <f>'CADASTRO V-T e ISS'!G120</f>
        <v>0</v>
      </c>
      <c r="E120" s="621">
        <f>(('VALOR POSTOS MÊS '!E40+('VALOR POSTOS MÊS '!E48+'VALOR POSTOS MÊS '!E62+(MAX(0,$C120-0.06*'VALOR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'!$D$149-$D120)</f>
        <v>8428.8640036363649</v>
      </c>
      <c r="F120" s="621">
        <f>(('VALOR POSTOS MÊS '!F40+('VALOR POSTOS MÊS '!F48+'VALOR POSTOS MÊS '!F62+(MAX(0,$C120-0.06*'VALOR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'!$D$149-$D120)</f>
        <v>8281.6094581818197</v>
      </c>
      <c r="G120" s="621">
        <f>(('VALOR POSTOS MÊS '!G40+('VALOR POSTOS MÊS '!G48+'VALOR POSTOS MÊS '!G62+(MAX(0,$C120-0.06*'VALOR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'!$D$149-$D120)</f>
        <v>10267.560367272728</v>
      </c>
      <c r="H120" s="621">
        <f>(('VALOR POSTOS MÊS '!H40+('VALOR POSTOS MÊS '!H48+'VALOR POSTOS MÊS '!H62+(MAX(0,$C120-0.06*'VALOR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'!$D$149-$D120)</f>
        <v>12184.771276363639</v>
      </c>
      <c r="I120" s="621">
        <f>(('VALOR POSTOS MÊS '!I40+('VALOR POSTOS MÊS '!I48+'VALOR POSTOS MÊS '!I62+(MAX(0,$C120-0.06*'VALOR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'!$D$149-$D120)</f>
        <v>15820.113094545455</v>
      </c>
      <c r="J120" s="621">
        <f>(('VALOR POSTOS MÊS '!J40+('VALOR POSTOS MÊS '!J48+'VALOR POSTOS MÊS '!J62+(MAX(0,$C120-0.06*'VALOR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'!$D$149-$D120)</f>
        <v>19964.125821818187</v>
      </c>
      <c r="K120" s="621">
        <f>(('VALOR POSTOS MÊS '!K40+('VALOR POSTOS MÊS '!K48+'VALOR POSTOS MÊS '!K62+(MAX(0,$C120-0.06*'VALOR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'!$D$149-$D120)</f>
        <v>10555.705821818183</v>
      </c>
      <c r="L120" s="621">
        <f>(('VALOR POSTOS MÊS '!L40+('VALOR POSTOS MÊS '!L48+'VALOR POSTOS MÊS '!L62+(MAX(0,$C120-0.06*'VALOR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'!$D$149-$D120)</f>
        <v>10285.696730909092</v>
      </c>
      <c r="M120" s="604">
        <f>'CADASTRO V-T e ISS'!H120</f>
        <v>1</v>
      </c>
      <c r="N120" s="604">
        <f>'CADASTRO V-T e ISS'!I120</f>
        <v>2</v>
      </c>
      <c r="O120" s="604">
        <f>'CADASTRO V-T e ISS'!J120</f>
        <v>0</v>
      </c>
      <c r="P120" s="604">
        <f>'CADASTRO V-T e ISS'!K120</f>
        <v>0</v>
      </c>
      <c r="Q120" s="604">
        <f>'CADASTRO V-T e ISS'!L120</f>
        <v>0</v>
      </c>
      <c r="R120" s="604">
        <f>'CADASTRO V-T e ISS'!M120</f>
        <v>0</v>
      </c>
      <c r="S120" s="604">
        <f>'CADASTRO V-T e ISS'!N120</f>
        <v>0</v>
      </c>
      <c r="T120" s="604">
        <f>'CADASTRO V-T e ISS'!O120</f>
        <v>0</v>
      </c>
      <c r="U120" s="608">
        <f t="shared" si="12"/>
        <v>24992.082920000004</v>
      </c>
      <c r="V120" s="608">
        <f t="shared" si="13"/>
        <v>499.84165840000009</v>
      </c>
      <c r="W120" s="608">
        <f t="shared" si="14"/>
        <v>25491.924578400005</v>
      </c>
      <c r="X120" s="608">
        <f t="shared" si="15"/>
        <v>611806.18988160009</v>
      </c>
    </row>
    <row r="121" spans="1:24">
      <c r="A121" s="604">
        <f>'CADASTRO V-T e ISS'!A121</f>
        <v>116</v>
      </c>
      <c r="B121" s="605" t="str">
        <f>'CADASTRO V-T e ISS'!B121</f>
        <v>Monsenhor Tabosa</v>
      </c>
      <c r="C121" s="606">
        <f>IF('CADASTRO V-T e ISS'!C121="SIM",'CADASTRO V-T e ISS'!D121*'CADASTRO V-T e ISS'!E121*'CADASTRO V-T e ISS'!F121,0)</f>
        <v>0</v>
      </c>
      <c r="D121" s="607">
        <f>'CADASTRO V-T e ISS'!G121</f>
        <v>0</v>
      </c>
      <c r="E121" s="621">
        <f>(('VALOR POSTOS MÊS '!E40+('VALOR POSTOS MÊS '!E48+'VALOR POSTOS MÊS '!E62+(MAX(0,$C121-0.06*'VALOR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'!$D$149-$D121)</f>
        <v>8428.8640036363649</v>
      </c>
      <c r="F121" s="621">
        <f>(('VALOR POSTOS MÊS '!F40+('VALOR POSTOS MÊS '!F48+'VALOR POSTOS MÊS '!F62+(MAX(0,$C121-0.06*'VALOR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'!$D$149-$D121)</f>
        <v>8281.6094581818197</v>
      </c>
      <c r="G121" s="621">
        <f>(('VALOR POSTOS MÊS '!G40+('VALOR POSTOS MÊS '!G48+'VALOR POSTOS MÊS '!G62+(MAX(0,$C121-0.06*'VALOR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'!$D$149-$D121)</f>
        <v>10267.560367272728</v>
      </c>
      <c r="H121" s="621">
        <f>(('VALOR POSTOS MÊS '!H40+('VALOR POSTOS MÊS '!H48+'VALOR POSTOS MÊS '!H62+(MAX(0,$C121-0.06*'VALOR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'!$D$149-$D121)</f>
        <v>12184.771276363639</v>
      </c>
      <c r="I121" s="621">
        <f>(('VALOR POSTOS MÊS '!I40+('VALOR POSTOS MÊS '!I48+'VALOR POSTOS MÊS '!I62+(MAX(0,$C121-0.06*'VALOR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'!$D$149-$D121)</f>
        <v>15820.113094545455</v>
      </c>
      <c r="J121" s="621">
        <f>(('VALOR POSTOS MÊS '!J40+('VALOR POSTOS MÊS '!J48+'VALOR POSTOS MÊS '!J62+(MAX(0,$C121-0.06*'VALOR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'!$D$149-$D121)</f>
        <v>19964.125821818187</v>
      </c>
      <c r="K121" s="621">
        <f>(('VALOR POSTOS MÊS '!K40+('VALOR POSTOS MÊS '!K48+'VALOR POSTOS MÊS '!K62+(MAX(0,$C121-0.06*'VALOR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'!$D$149-$D121)</f>
        <v>10555.705821818183</v>
      </c>
      <c r="L121" s="621">
        <f>(('VALOR POSTOS MÊS '!L40+('VALOR POSTOS MÊS '!L48+'VALOR POSTOS MÊS '!L62+(MAX(0,$C121-0.06*'VALOR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'!$D$149-$D121)</f>
        <v>10285.696730909092</v>
      </c>
      <c r="M121" s="604">
        <f>'CADASTRO V-T e ISS'!H121</f>
        <v>1</v>
      </c>
      <c r="N121" s="604">
        <f>'CADASTRO V-T e ISS'!I121</f>
        <v>1</v>
      </c>
      <c r="O121" s="604">
        <f>'CADASTRO V-T e ISS'!J121</f>
        <v>0</v>
      </c>
      <c r="P121" s="604">
        <f>'CADASTRO V-T e ISS'!K121</f>
        <v>0</v>
      </c>
      <c r="Q121" s="604">
        <f>'CADASTRO V-T e ISS'!L121</f>
        <v>0</v>
      </c>
      <c r="R121" s="604">
        <f>'CADASTRO V-T e ISS'!M121</f>
        <v>0</v>
      </c>
      <c r="S121" s="604">
        <f>'CADASTRO V-T e ISS'!N121</f>
        <v>0</v>
      </c>
      <c r="T121" s="604">
        <f>'CADASTRO V-T e ISS'!O121</f>
        <v>0</v>
      </c>
      <c r="U121" s="608">
        <f t="shared" si="12"/>
        <v>16710.473461818183</v>
      </c>
      <c r="V121" s="608">
        <f t="shared" si="13"/>
        <v>334.20946923636365</v>
      </c>
      <c r="W121" s="608">
        <f t="shared" si="14"/>
        <v>17044.682931054547</v>
      </c>
      <c r="X121" s="608">
        <f t="shared" si="15"/>
        <v>409072.39034530916</v>
      </c>
    </row>
    <row r="122" spans="1:24">
      <c r="A122" s="604">
        <f>'CADASTRO V-T e ISS'!A122</f>
        <v>117</v>
      </c>
      <c r="B122" s="605" t="str">
        <f>'CADASTRO V-T e ISS'!B122</f>
        <v>Morada Nova</v>
      </c>
      <c r="C122" s="606">
        <f>IF('CADASTRO V-T e ISS'!C122="SIM",'CADASTRO V-T e ISS'!D122*'CADASTRO V-T e ISS'!E122*'CADASTRO V-T e ISS'!F122,0)</f>
        <v>0</v>
      </c>
      <c r="D122" s="607">
        <f>'CADASTRO V-T e ISS'!G122</f>
        <v>0</v>
      </c>
      <c r="E122" s="621">
        <f>(('VALOR POSTOS MÊS '!E40+('VALOR POSTOS MÊS '!E48+'VALOR POSTOS MÊS '!E62+(MAX(0,$C122-0.06*'VALOR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'!$D$149-$D122)</f>
        <v>8428.8640036363649</v>
      </c>
      <c r="F122" s="621">
        <f>(('VALOR POSTOS MÊS '!F40+('VALOR POSTOS MÊS '!F48+'VALOR POSTOS MÊS '!F62+(MAX(0,$C122-0.06*'VALOR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'!$D$149-$D122)</f>
        <v>8281.6094581818197</v>
      </c>
      <c r="G122" s="621">
        <f>(('VALOR POSTOS MÊS '!G40+('VALOR POSTOS MÊS '!G48+'VALOR POSTOS MÊS '!G62+(MAX(0,$C122-0.06*'VALOR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'!$D$149-$D122)</f>
        <v>10267.560367272728</v>
      </c>
      <c r="H122" s="621">
        <f>(('VALOR POSTOS MÊS '!H40+('VALOR POSTOS MÊS '!H48+'VALOR POSTOS MÊS '!H62+(MAX(0,$C122-0.06*'VALOR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'!$D$149-$D122)</f>
        <v>12184.771276363639</v>
      </c>
      <c r="I122" s="621">
        <f>(('VALOR POSTOS MÊS '!I40+('VALOR POSTOS MÊS '!I48+'VALOR POSTOS MÊS '!I62+(MAX(0,$C122-0.06*'VALOR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'!$D$149-$D122)</f>
        <v>15820.113094545455</v>
      </c>
      <c r="J122" s="621">
        <f>(('VALOR POSTOS MÊS '!J40+('VALOR POSTOS MÊS '!J48+'VALOR POSTOS MÊS '!J62+(MAX(0,$C122-0.06*'VALOR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'!$D$149-$D122)</f>
        <v>19964.125821818187</v>
      </c>
      <c r="K122" s="621">
        <f>(('VALOR POSTOS MÊS '!K40+('VALOR POSTOS MÊS '!K48+'VALOR POSTOS MÊS '!K62+(MAX(0,$C122-0.06*'VALOR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'!$D$149-$D122)</f>
        <v>10555.705821818183</v>
      </c>
      <c r="L122" s="621">
        <f>(('VALOR POSTOS MÊS '!L40+('VALOR POSTOS MÊS '!L48+'VALOR POSTOS MÊS '!L62+(MAX(0,$C122-0.06*'VALOR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'!$D$149-$D122)</f>
        <v>10285.696730909092</v>
      </c>
      <c r="M122" s="604">
        <f>'CADASTRO V-T e ISS'!H122</f>
        <v>1</v>
      </c>
      <c r="N122" s="604">
        <f>'CADASTRO V-T e ISS'!I122</f>
        <v>2</v>
      </c>
      <c r="O122" s="604">
        <f>'CADASTRO V-T e ISS'!J122</f>
        <v>0</v>
      </c>
      <c r="P122" s="604">
        <f>'CADASTRO V-T e ISS'!K122</f>
        <v>0</v>
      </c>
      <c r="Q122" s="604">
        <f>'CADASTRO V-T e ISS'!L122</f>
        <v>0</v>
      </c>
      <c r="R122" s="604">
        <f>'CADASTRO V-T e ISS'!M122</f>
        <v>0</v>
      </c>
      <c r="S122" s="604">
        <f>'CADASTRO V-T e ISS'!N122</f>
        <v>0</v>
      </c>
      <c r="T122" s="604">
        <f>'CADASTRO V-T e ISS'!O122</f>
        <v>0</v>
      </c>
      <c r="U122" s="608">
        <f t="shared" si="12"/>
        <v>24992.082920000004</v>
      </c>
      <c r="V122" s="608">
        <f t="shared" si="13"/>
        <v>499.84165840000009</v>
      </c>
      <c r="W122" s="608">
        <f t="shared" si="14"/>
        <v>25491.924578400005</v>
      </c>
      <c r="X122" s="608">
        <f t="shared" si="15"/>
        <v>611806.18988160009</v>
      </c>
    </row>
    <row r="123" spans="1:24">
      <c r="A123" s="604">
        <f>'CADASTRO V-T e ISS'!A123</f>
        <v>118</v>
      </c>
      <c r="B123" s="605" t="str">
        <f>'CADASTRO V-T e ISS'!B123</f>
        <v>Moraújo</v>
      </c>
      <c r="C123" s="606">
        <f>IF('CADASTRO V-T e ISS'!C123="SIM",'CADASTRO V-T e ISS'!D123*'CADASTRO V-T e ISS'!E123*'CADASTRO V-T e ISS'!F123,0)</f>
        <v>0</v>
      </c>
      <c r="D123" s="607">
        <f>'CADASTRO V-T e ISS'!G123</f>
        <v>0</v>
      </c>
      <c r="E123" s="621">
        <f>(('VALOR POSTOS MÊS '!E40+('VALOR POSTOS MÊS '!E48+'VALOR POSTOS MÊS '!E62+(MAX(0,$C123-0.06*'VALOR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'!$D$149-$D123)</f>
        <v>8428.8640036363649</v>
      </c>
      <c r="F123" s="621">
        <f>(('VALOR POSTOS MÊS '!F40+('VALOR POSTOS MÊS '!F48+'VALOR POSTOS MÊS '!F62+(MAX(0,$C123-0.06*'VALOR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'!$D$149-$D123)</f>
        <v>8281.6094581818197</v>
      </c>
      <c r="G123" s="621">
        <f>(('VALOR POSTOS MÊS '!G40+('VALOR POSTOS MÊS '!G48+'VALOR POSTOS MÊS '!G62+(MAX(0,$C123-0.06*'VALOR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'!$D$149-$D123)</f>
        <v>10267.560367272728</v>
      </c>
      <c r="H123" s="621">
        <f>(('VALOR POSTOS MÊS '!H40+('VALOR POSTOS MÊS '!H48+'VALOR POSTOS MÊS '!H62+(MAX(0,$C123-0.06*'VALOR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'!$D$149-$D123)</f>
        <v>12184.771276363639</v>
      </c>
      <c r="I123" s="621">
        <f>(('VALOR POSTOS MÊS '!I40+('VALOR POSTOS MÊS '!I48+'VALOR POSTOS MÊS '!I62+(MAX(0,$C123-0.06*'VALOR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'!$D$149-$D123)</f>
        <v>15820.113094545455</v>
      </c>
      <c r="J123" s="621">
        <f>(('VALOR POSTOS MÊS '!J40+('VALOR POSTOS MÊS '!J48+'VALOR POSTOS MÊS '!J62+(MAX(0,$C123-0.06*'VALOR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'!$D$149-$D123)</f>
        <v>19964.125821818187</v>
      </c>
      <c r="K123" s="621">
        <f>(('VALOR POSTOS MÊS '!K40+('VALOR POSTOS MÊS '!K48+'VALOR POSTOS MÊS '!K62+(MAX(0,$C123-0.06*'VALOR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'!$D$149-$D123)</f>
        <v>10555.705821818183</v>
      </c>
      <c r="L123" s="621">
        <f>(('VALOR POSTOS MÊS '!L40+('VALOR POSTOS MÊS '!L48+'VALOR POSTOS MÊS '!L62+(MAX(0,$C123-0.06*'VALOR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'!$D$149-$D123)</f>
        <v>10285.696730909092</v>
      </c>
      <c r="M123" s="604">
        <f>'CADASTRO V-T e ISS'!H123</f>
        <v>0</v>
      </c>
      <c r="N123" s="604">
        <f>'CADASTRO V-T e ISS'!I123</f>
        <v>0</v>
      </c>
      <c r="O123" s="604">
        <f>'CADASTRO V-T e ISS'!J123</f>
        <v>0</v>
      </c>
      <c r="P123" s="604">
        <f>'CADASTRO V-T e ISS'!K123</f>
        <v>0</v>
      </c>
      <c r="Q123" s="604">
        <f>'CADASTRO V-T e ISS'!L123</f>
        <v>0</v>
      </c>
      <c r="R123" s="604">
        <f>'CADASTRO V-T e ISS'!M123</f>
        <v>0</v>
      </c>
      <c r="S123" s="604">
        <f>'CADASTRO V-T e ISS'!N123</f>
        <v>0</v>
      </c>
      <c r="T123" s="604">
        <f>'CADASTRO V-T e ISS'!O123</f>
        <v>0</v>
      </c>
      <c r="U123" s="608">
        <f t="shared" si="12"/>
        <v>0</v>
      </c>
      <c r="V123" s="608">
        <f t="shared" si="13"/>
        <v>0</v>
      </c>
      <c r="W123" s="608">
        <f t="shared" si="14"/>
        <v>0</v>
      </c>
      <c r="X123" s="608">
        <f t="shared" si="15"/>
        <v>0</v>
      </c>
    </row>
    <row r="124" spans="1:24">
      <c r="A124" s="604">
        <f>'CADASTRO V-T e ISS'!A124</f>
        <v>119</v>
      </c>
      <c r="B124" s="605" t="str">
        <f>'CADASTRO V-T e ISS'!B124</f>
        <v>Morrinhos</v>
      </c>
      <c r="C124" s="606">
        <f>IF('CADASTRO V-T e ISS'!C124="SIM",'CADASTRO V-T e ISS'!D124*'CADASTRO V-T e ISS'!E124*'CADASTRO V-T e ISS'!F124,0)</f>
        <v>0</v>
      </c>
      <c r="D124" s="607">
        <f>'CADASTRO V-T e ISS'!G124</f>
        <v>0</v>
      </c>
      <c r="E124" s="621">
        <f>(('VALOR POSTOS MÊS '!E40+('VALOR POSTOS MÊS '!E48+'VALOR POSTOS MÊS '!E62+(MAX(0,$C124-0.06*'VALOR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'!$D$149-$D124)</f>
        <v>8428.8640036363649</v>
      </c>
      <c r="F124" s="621">
        <f>(('VALOR POSTOS MÊS '!F40+('VALOR POSTOS MÊS '!F48+'VALOR POSTOS MÊS '!F62+(MAX(0,$C124-0.06*'VALOR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'!$D$149-$D124)</f>
        <v>8281.6094581818197</v>
      </c>
      <c r="G124" s="621">
        <f>(('VALOR POSTOS MÊS '!G40+('VALOR POSTOS MÊS '!G48+'VALOR POSTOS MÊS '!G62+(MAX(0,$C124-0.06*'VALOR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'!$D$149-$D124)</f>
        <v>10267.560367272728</v>
      </c>
      <c r="H124" s="621">
        <f>(('VALOR POSTOS MÊS '!H40+('VALOR POSTOS MÊS '!H48+'VALOR POSTOS MÊS '!H62+(MAX(0,$C124-0.06*'VALOR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'!$D$149-$D124)</f>
        <v>12184.771276363639</v>
      </c>
      <c r="I124" s="621">
        <f>(('VALOR POSTOS MÊS '!I40+('VALOR POSTOS MÊS '!I48+'VALOR POSTOS MÊS '!I62+(MAX(0,$C124-0.06*'VALOR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'!$D$149-$D124)</f>
        <v>15820.113094545455</v>
      </c>
      <c r="J124" s="621">
        <f>(('VALOR POSTOS MÊS '!J40+('VALOR POSTOS MÊS '!J48+'VALOR POSTOS MÊS '!J62+(MAX(0,$C124-0.06*'VALOR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'!$D$149-$D124)</f>
        <v>19964.125821818187</v>
      </c>
      <c r="K124" s="621">
        <f>(('VALOR POSTOS MÊS '!K40+('VALOR POSTOS MÊS '!K48+'VALOR POSTOS MÊS '!K62+(MAX(0,$C124-0.06*'VALOR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'!$D$149-$D124)</f>
        <v>10555.705821818183</v>
      </c>
      <c r="L124" s="621">
        <f>(('VALOR POSTOS MÊS '!L40+('VALOR POSTOS MÊS '!L48+'VALOR POSTOS MÊS '!L62+(MAX(0,$C124-0.06*'VALOR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'!$D$149-$D124)</f>
        <v>10285.696730909092</v>
      </c>
      <c r="M124" s="604">
        <f>'CADASTRO V-T e ISS'!H124</f>
        <v>0</v>
      </c>
      <c r="N124" s="604">
        <f>'CADASTRO V-T e ISS'!I124</f>
        <v>0</v>
      </c>
      <c r="O124" s="604">
        <f>'CADASTRO V-T e ISS'!J124</f>
        <v>0</v>
      </c>
      <c r="P124" s="604">
        <f>'CADASTRO V-T e ISS'!K124</f>
        <v>0</v>
      </c>
      <c r="Q124" s="604">
        <f>'CADASTRO V-T e ISS'!L124</f>
        <v>0</v>
      </c>
      <c r="R124" s="604">
        <f>'CADASTRO V-T e ISS'!M124</f>
        <v>0</v>
      </c>
      <c r="S124" s="604">
        <f>'CADASTRO V-T e ISS'!N124</f>
        <v>0</v>
      </c>
      <c r="T124" s="604">
        <f>'CADASTRO V-T e ISS'!O124</f>
        <v>0</v>
      </c>
      <c r="U124" s="608">
        <f t="shared" si="12"/>
        <v>0</v>
      </c>
      <c r="V124" s="608">
        <f t="shared" si="13"/>
        <v>0</v>
      </c>
      <c r="W124" s="608">
        <f t="shared" si="14"/>
        <v>0</v>
      </c>
      <c r="X124" s="608">
        <f t="shared" si="15"/>
        <v>0</v>
      </c>
    </row>
    <row r="125" spans="1:24">
      <c r="A125" s="604">
        <f>'CADASTRO V-T e ISS'!A125</f>
        <v>120</v>
      </c>
      <c r="B125" s="605" t="str">
        <f>'CADASTRO V-T e ISS'!B125</f>
        <v>Mucambo</v>
      </c>
      <c r="C125" s="606">
        <f>IF('CADASTRO V-T e ISS'!C125="SIM",'CADASTRO V-T e ISS'!D125*'CADASTRO V-T e ISS'!E125*'CADASTRO V-T e ISS'!F125,0)</f>
        <v>0</v>
      </c>
      <c r="D125" s="607">
        <f>'CADASTRO V-T e ISS'!G125</f>
        <v>0</v>
      </c>
      <c r="E125" s="621">
        <f>(('VALOR POSTOS MÊS '!E40+('VALOR POSTOS MÊS '!E48+'VALOR POSTOS MÊS '!E62+(MAX(0,$C125-0.06*'VALOR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'!$D$149-$D125)</f>
        <v>8428.8640036363649</v>
      </c>
      <c r="F125" s="621">
        <f>(('VALOR POSTOS MÊS '!F40+('VALOR POSTOS MÊS '!F48+'VALOR POSTOS MÊS '!F62+(MAX(0,$C125-0.06*'VALOR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'!$D$149-$D125)</f>
        <v>8281.6094581818197</v>
      </c>
      <c r="G125" s="621">
        <f>(('VALOR POSTOS MÊS '!G40+('VALOR POSTOS MÊS '!G48+'VALOR POSTOS MÊS '!G62+(MAX(0,$C125-0.06*'VALOR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'!$D$149-$D125)</f>
        <v>10267.560367272728</v>
      </c>
      <c r="H125" s="621">
        <f>(('VALOR POSTOS MÊS '!H40+('VALOR POSTOS MÊS '!H48+'VALOR POSTOS MÊS '!H62+(MAX(0,$C125-0.06*'VALOR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'!$D$149-$D125)</f>
        <v>12184.771276363639</v>
      </c>
      <c r="I125" s="621">
        <f>(('VALOR POSTOS MÊS '!I40+('VALOR POSTOS MÊS '!I48+'VALOR POSTOS MÊS '!I62+(MAX(0,$C125-0.06*'VALOR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'!$D$149-$D125)</f>
        <v>15820.113094545455</v>
      </c>
      <c r="J125" s="621">
        <f>(('VALOR POSTOS MÊS '!J40+('VALOR POSTOS MÊS '!J48+'VALOR POSTOS MÊS '!J62+(MAX(0,$C125-0.06*'VALOR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'!$D$149-$D125)</f>
        <v>19964.125821818187</v>
      </c>
      <c r="K125" s="621">
        <f>(('VALOR POSTOS MÊS '!K40+('VALOR POSTOS MÊS '!K48+'VALOR POSTOS MÊS '!K62+(MAX(0,$C125-0.06*'VALOR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'!$D$149-$D125)</f>
        <v>10555.705821818183</v>
      </c>
      <c r="L125" s="621">
        <f>(('VALOR POSTOS MÊS '!L40+('VALOR POSTOS MÊS '!L48+'VALOR POSTOS MÊS '!L62+(MAX(0,$C125-0.06*'VALOR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'!$D$149-$D125)</f>
        <v>10285.696730909092</v>
      </c>
      <c r="M125" s="604">
        <f>'CADASTRO V-T e ISS'!H125</f>
        <v>1</v>
      </c>
      <c r="N125" s="604">
        <f>'CADASTRO V-T e ISS'!I125</f>
        <v>1</v>
      </c>
      <c r="O125" s="604">
        <f>'CADASTRO V-T e ISS'!J125</f>
        <v>0</v>
      </c>
      <c r="P125" s="604">
        <f>'CADASTRO V-T e ISS'!K125</f>
        <v>0</v>
      </c>
      <c r="Q125" s="604">
        <f>'CADASTRO V-T e ISS'!L125</f>
        <v>0</v>
      </c>
      <c r="R125" s="604">
        <f>'CADASTRO V-T e ISS'!M125</f>
        <v>0</v>
      </c>
      <c r="S125" s="604">
        <f>'CADASTRO V-T e ISS'!N125</f>
        <v>0</v>
      </c>
      <c r="T125" s="604">
        <f>'CADASTRO V-T e ISS'!O125</f>
        <v>0</v>
      </c>
      <c r="U125" s="608">
        <f t="shared" si="12"/>
        <v>16710.473461818183</v>
      </c>
      <c r="V125" s="608">
        <f t="shared" si="13"/>
        <v>334.20946923636365</v>
      </c>
      <c r="W125" s="608">
        <f t="shared" si="14"/>
        <v>17044.682931054547</v>
      </c>
      <c r="X125" s="608">
        <f t="shared" si="15"/>
        <v>409072.39034530916</v>
      </c>
    </row>
    <row r="126" spans="1:24">
      <c r="A126" s="604">
        <f>'CADASTRO V-T e ISS'!A126</f>
        <v>121</v>
      </c>
      <c r="B126" s="605" t="str">
        <f>'CADASTRO V-T e ISS'!B126</f>
        <v>Mulungu</v>
      </c>
      <c r="C126" s="606">
        <f>IF('CADASTRO V-T e ISS'!C126="SIM",'CADASTRO V-T e ISS'!D126*'CADASTRO V-T e ISS'!E126*'CADASTRO V-T e ISS'!F126,0)</f>
        <v>0</v>
      </c>
      <c r="D126" s="607">
        <f>'CADASTRO V-T e ISS'!G126</f>
        <v>0</v>
      </c>
      <c r="E126" s="621">
        <f>(('VALOR POSTOS MÊS '!E40+('VALOR POSTOS MÊS '!E48+'VALOR POSTOS MÊS '!E62+(MAX(0,$C126-0.06*'VALOR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'!$D$149-$D126)</f>
        <v>8428.8640036363649</v>
      </c>
      <c r="F126" s="621">
        <f>(('VALOR POSTOS MÊS '!F40+('VALOR POSTOS MÊS '!F48+'VALOR POSTOS MÊS '!F62+(MAX(0,$C126-0.06*'VALOR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'!$D$149-$D126)</f>
        <v>8281.6094581818197</v>
      </c>
      <c r="G126" s="621">
        <f>(('VALOR POSTOS MÊS '!G40+('VALOR POSTOS MÊS '!G48+'VALOR POSTOS MÊS '!G62+(MAX(0,$C126-0.06*'VALOR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'!$D$149-$D126)</f>
        <v>10267.560367272728</v>
      </c>
      <c r="H126" s="621">
        <f>(('VALOR POSTOS MÊS '!H40+('VALOR POSTOS MÊS '!H48+'VALOR POSTOS MÊS '!H62+(MAX(0,$C126-0.06*'VALOR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'!$D$149-$D126)</f>
        <v>12184.771276363639</v>
      </c>
      <c r="I126" s="621">
        <f>(('VALOR POSTOS MÊS '!I40+('VALOR POSTOS MÊS '!I48+'VALOR POSTOS MÊS '!I62+(MAX(0,$C126-0.06*'VALOR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'!$D$149-$D126)</f>
        <v>15820.113094545455</v>
      </c>
      <c r="J126" s="621">
        <f>(('VALOR POSTOS MÊS '!J40+('VALOR POSTOS MÊS '!J48+'VALOR POSTOS MÊS '!J62+(MAX(0,$C126-0.06*'VALOR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'!$D$149-$D126)</f>
        <v>19964.125821818187</v>
      </c>
      <c r="K126" s="621">
        <f>(('VALOR POSTOS MÊS '!K40+('VALOR POSTOS MÊS '!K48+'VALOR POSTOS MÊS '!K62+(MAX(0,$C126-0.06*'VALOR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'!$D$149-$D126)</f>
        <v>10555.705821818183</v>
      </c>
      <c r="L126" s="621">
        <f>(('VALOR POSTOS MÊS '!L40+('VALOR POSTOS MÊS '!L48+'VALOR POSTOS MÊS '!L62+(MAX(0,$C126-0.06*'VALOR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'!$D$149-$D126)</f>
        <v>10285.696730909092</v>
      </c>
      <c r="M126" s="604">
        <f>'CADASTRO V-T e ISS'!H126</f>
        <v>1</v>
      </c>
      <c r="N126" s="604">
        <f>'CADASTRO V-T e ISS'!I126</f>
        <v>1</v>
      </c>
      <c r="O126" s="604">
        <f>'CADASTRO V-T e ISS'!J126</f>
        <v>0</v>
      </c>
      <c r="P126" s="604">
        <f>'CADASTRO V-T e ISS'!K126</f>
        <v>0</v>
      </c>
      <c r="Q126" s="604">
        <f>'CADASTRO V-T e ISS'!L126</f>
        <v>0</v>
      </c>
      <c r="R126" s="604">
        <f>'CADASTRO V-T e ISS'!M126</f>
        <v>0</v>
      </c>
      <c r="S126" s="604">
        <f>'CADASTRO V-T e ISS'!N126</f>
        <v>0</v>
      </c>
      <c r="T126" s="604">
        <f>'CADASTRO V-T e ISS'!O126</f>
        <v>0</v>
      </c>
      <c r="U126" s="608">
        <f t="shared" si="12"/>
        <v>16710.473461818183</v>
      </c>
      <c r="V126" s="608">
        <f t="shared" si="13"/>
        <v>334.20946923636365</v>
      </c>
      <c r="W126" s="608">
        <f t="shared" si="14"/>
        <v>17044.682931054547</v>
      </c>
      <c r="X126" s="608">
        <f t="shared" si="15"/>
        <v>409072.39034530916</v>
      </c>
    </row>
    <row r="127" spans="1:24">
      <c r="A127" s="604">
        <f>'CADASTRO V-T e ISS'!A127</f>
        <v>122</v>
      </c>
      <c r="B127" s="605" t="str">
        <f>'CADASTRO V-T e ISS'!B127</f>
        <v>Nova Olinda</v>
      </c>
      <c r="C127" s="606">
        <f>IF('CADASTRO V-T e ISS'!C127="SIM",'CADASTRO V-T e ISS'!D127*'CADASTRO V-T e ISS'!E127*'CADASTRO V-T e ISS'!F127,0)</f>
        <v>0</v>
      </c>
      <c r="D127" s="607">
        <f>'CADASTRO V-T e ISS'!G127</f>
        <v>0</v>
      </c>
      <c r="E127" s="621">
        <f>(('VALOR POSTOS MÊS '!E40+('VALOR POSTOS MÊS '!E48+'VALOR POSTOS MÊS '!E62+(MAX(0,$C127-0.06*'VALOR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'!$D$149-$D127)</f>
        <v>8428.8640036363649</v>
      </c>
      <c r="F127" s="621">
        <f>(('VALOR POSTOS MÊS '!F40+('VALOR POSTOS MÊS '!F48+'VALOR POSTOS MÊS '!F62+(MAX(0,$C127-0.06*'VALOR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'!$D$149-$D127)</f>
        <v>8281.6094581818197</v>
      </c>
      <c r="G127" s="621">
        <f>(('VALOR POSTOS MÊS '!G40+('VALOR POSTOS MÊS '!G48+'VALOR POSTOS MÊS '!G62+(MAX(0,$C127-0.06*'VALOR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'!$D$149-$D127)</f>
        <v>10267.560367272728</v>
      </c>
      <c r="H127" s="621">
        <f>(('VALOR POSTOS MÊS '!H40+('VALOR POSTOS MÊS '!H48+'VALOR POSTOS MÊS '!H62+(MAX(0,$C127-0.06*'VALOR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'!$D$149-$D127)</f>
        <v>12184.771276363639</v>
      </c>
      <c r="I127" s="621">
        <f>(('VALOR POSTOS MÊS '!I40+('VALOR POSTOS MÊS '!I48+'VALOR POSTOS MÊS '!I62+(MAX(0,$C127-0.06*'VALOR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'!$D$149-$D127)</f>
        <v>15820.113094545455</v>
      </c>
      <c r="J127" s="621">
        <f>(('VALOR POSTOS MÊS '!J40+('VALOR POSTOS MÊS '!J48+'VALOR POSTOS MÊS '!J62+(MAX(0,$C127-0.06*'VALOR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'!$D$149-$D127)</f>
        <v>19964.125821818187</v>
      </c>
      <c r="K127" s="621">
        <f>(('VALOR POSTOS MÊS '!K40+('VALOR POSTOS MÊS '!K48+'VALOR POSTOS MÊS '!K62+(MAX(0,$C127-0.06*'VALOR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'!$D$149-$D127)</f>
        <v>10555.705821818183</v>
      </c>
      <c r="L127" s="621">
        <f>(('VALOR POSTOS MÊS '!L40+('VALOR POSTOS MÊS '!L48+'VALOR POSTOS MÊS '!L62+(MAX(0,$C127-0.06*'VALOR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'!$D$149-$D127)</f>
        <v>10285.696730909092</v>
      </c>
      <c r="M127" s="604">
        <f>'CADASTRO V-T e ISS'!H127</f>
        <v>1</v>
      </c>
      <c r="N127" s="604">
        <f>'CADASTRO V-T e ISS'!I127</f>
        <v>1</v>
      </c>
      <c r="O127" s="604">
        <f>'CADASTRO V-T e ISS'!J127</f>
        <v>0</v>
      </c>
      <c r="P127" s="604">
        <f>'CADASTRO V-T e ISS'!K127</f>
        <v>0</v>
      </c>
      <c r="Q127" s="604">
        <f>'CADASTRO V-T e ISS'!L127</f>
        <v>0</v>
      </c>
      <c r="R127" s="604">
        <f>'CADASTRO V-T e ISS'!M127</f>
        <v>0</v>
      </c>
      <c r="S127" s="604">
        <f>'CADASTRO V-T e ISS'!N127</f>
        <v>0</v>
      </c>
      <c r="T127" s="604">
        <f>'CADASTRO V-T e ISS'!O127</f>
        <v>0</v>
      </c>
      <c r="U127" s="608">
        <f t="shared" si="12"/>
        <v>16710.473461818183</v>
      </c>
      <c r="V127" s="608">
        <f t="shared" si="13"/>
        <v>334.20946923636365</v>
      </c>
      <c r="W127" s="608">
        <f t="shared" si="14"/>
        <v>17044.682931054547</v>
      </c>
      <c r="X127" s="608">
        <f t="shared" si="15"/>
        <v>409072.39034530916</v>
      </c>
    </row>
    <row r="128" spans="1:24">
      <c r="A128" s="604">
        <f>'CADASTRO V-T e ISS'!A128</f>
        <v>123</v>
      </c>
      <c r="B128" s="605" t="str">
        <f>'CADASTRO V-T e ISS'!B128</f>
        <v>Nova Russas</v>
      </c>
      <c r="C128" s="606">
        <f>IF('CADASTRO V-T e ISS'!C128="SIM",'CADASTRO V-T e ISS'!D128*'CADASTRO V-T e ISS'!E128*'CADASTRO V-T e ISS'!F128,0)</f>
        <v>0</v>
      </c>
      <c r="D128" s="607">
        <f>'CADASTRO V-T e ISS'!G128</f>
        <v>0</v>
      </c>
      <c r="E128" s="621">
        <f>(('VALOR POSTOS MÊS '!E40+('VALOR POSTOS MÊS '!E48+'VALOR POSTOS MÊS '!E62+(MAX(0,$C128-0.06*'VALOR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'!$D$149-$D128)</f>
        <v>8428.8640036363649</v>
      </c>
      <c r="F128" s="621">
        <f>(('VALOR POSTOS MÊS '!F40+('VALOR POSTOS MÊS '!F48+'VALOR POSTOS MÊS '!F62+(MAX(0,$C128-0.06*'VALOR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'!$D$149-$D128)</f>
        <v>8281.6094581818197</v>
      </c>
      <c r="G128" s="621">
        <f>(('VALOR POSTOS MÊS '!G40+('VALOR POSTOS MÊS '!G48+'VALOR POSTOS MÊS '!G62+(MAX(0,$C128-0.06*'VALOR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'!$D$149-$D128)</f>
        <v>10267.560367272728</v>
      </c>
      <c r="H128" s="621">
        <f>(('VALOR POSTOS MÊS '!H40+('VALOR POSTOS MÊS '!H48+'VALOR POSTOS MÊS '!H62+(MAX(0,$C128-0.06*'VALOR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'!$D$149-$D128)</f>
        <v>12184.771276363639</v>
      </c>
      <c r="I128" s="621">
        <f>(('VALOR POSTOS MÊS '!I40+('VALOR POSTOS MÊS '!I48+'VALOR POSTOS MÊS '!I62+(MAX(0,$C128-0.06*'VALOR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'!$D$149-$D128)</f>
        <v>15820.113094545455</v>
      </c>
      <c r="J128" s="621">
        <f>(('VALOR POSTOS MÊS '!J40+('VALOR POSTOS MÊS '!J48+'VALOR POSTOS MÊS '!J62+(MAX(0,$C128-0.06*'VALOR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'!$D$149-$D128)</f>
        <v>19964.125821818187</v>
      </c>
      <c r="K128" s="621">
        <f>(('VALOR POSTOS MÊS '!K40+('VALOR POSTOS MÊS '!K48+'VALOR POSTOS MÊS '!K62+(MAX(0,$C128-0.06*'VALOR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'!$D$149-$D128)</f>
        <v>10555.705821818183</v>
      </c>
      <c r="L128" s="621">
        <f>(('VALOR POSTOS MÊS '!L40+('VALOR POSTOS MÊS '!L48+'VALOR POSTOS MÊS '!L62+(MAX(0,$C128-0.06*'VALOR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'!$D$149-$D128)</f>
        <v>10285.696730909092</v>
      </c>
      <c r="M128" s="604">
        <f>'CADASTRO V-T e ISS'!H128</f>
        <v>1</v>
      </c>
      <c r="N128" s="604">
        <f>'CADASTRO V-T e ISS'!I128</f>
        <v>2</v>
      </c>
      <c r="O128" s="604">
        <f>'CADASTRO V-T e ISS'!J128</f>
        <v>0</v>
      </c>
      <c r="P128" s="604">
        <f>'CADASTRO V-T e ISS'!K128</f>
        <v>0</v>
      </c>
      <c r="Q128" s="604">
        <f>'CADASTRO V-T e ISS'!L128</f>
        <v>0</v>
      </c>
      <c r="R128" s="604">
        <f>'CADASTRO V-T e ISS'!M128</f>
        <v>0</v>
      </c>
      <c r="S128" s="604">
        <f>'CADASTRO V-T e ISS'!N128</f>
        <v>0</v>
      </c>
      <c r="T128" s="604">
        <f>'CADASTRO V-T e ISS'!O128</f>
        <v>0</v>
      </c>
      <c r="U128" s="608">
        <f t="shared" si="12"/>
        <v>24992.082920000004</v>
      </c>
      <c r="V128" s="608">
        <f t="shared" si="13"/>
        <v>499.84165840000009</v>
      </c>
      <c r="W128" s="608">
        <f t="shared" si="14"/>
        <v>25491.924578400005</v>
      </c>
      <c r="X128" s="608">
        <f t="shared" si="15"/>
        <v>611806.18988160009</v>
      </c>
    </row>
    <row r="129" spans="1:24">
      <c r="A129" s="604">
        <f>'CADASTRO V-T e ISS'!A129</f>
        <v>124</v>
      </c>
      <c r="B129" s="605" t="str">
        <f>'CADASTRO V-T e ISS'!B129</f>
        <v>Novo Oriente</v>
      </c>
      <c r="C129" s="606">
        <f>IF('CADASTRO V-T e ISS'!C129="SIM",'CADASTRO V-T e ISS'!D129*'CADASTRO V-T e ISS'!E129*'CADASTRO V-T e ISS'!F129,0)</f>
        <v>0</v>
      </c>
      <c r="D129" s="607">
        <f>'CADASTRO V-T e ISS'!G129</f>
        <v>0</v>
      </c>
      <c r="E129" s="621">
        <f>(('VALOR POSTOS MÊS '!E40+('VALOR POSTOS MÊS '!E48+'VALOR POSTOS MÊS '!E62+(MAX(0,$C129-0.06*'VALOR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'!E62+(MAX(0,$C129-0.06*'VALOR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'!$D$149-$D129)</f>
        <v>8428.8640036363649</v>
      </c>
      <c r="F129" s="621">
        <f>(('VALOR POSTOS MÊS '!F40+('VALOR POSTOS MÊS '!F48+'VALOR POSTOS MÊS '!F62+(MAX(0,$C129-0.06*'VALOR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'!F62+(MAX(0,$C129-0.06*'VALOR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'!$D$149-$D129)</f>
        <v>8281.6094581818197</v>
      </c>
      <c r="G129" s="621">
        <f>(('VALOR POSTOS MÊS '!G40+('VALOR POSTOS MÊS '!G48+'VALOR POSTOS MÊS '!G62+(MAX(0,$C129-0.06*'VALOR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'!G62+(MAX(0,$C129-0.06*'VALOR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'!$D$149-$D129)</f>
        <v>10267.560367272728</v>
      </c>
      <c r="H129" s="621">
        <f>(('VALOR POSTOS MÊS '!H40+('VALOR POSTOS MÊS '!H48+'VALOR POSTOS MÊS '!H62+(MAX(0,$C129-0.06*'VALOR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'!H62+(MAX(0,$C129-0.06*'VALOR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'!$D$149-$D129)</f>
        <v>12184.771276363639</v>
      </c>
      <c r="I129" s="621">
        <f>(('VALOR POSTOS MÊS '!I40+('VALOR POSTOS MÊS '!I48+'VALOR POSTOS MÊS '!I62+(MAX(0,$C129-0.06*'VALOR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'!I62+(MAX(0,$C129-0.06*'VALOR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'!$D$149-$D129)</f>
        <v>15820.113094545455</v>
      </c>
      <c r="J129" s="621">
        <f>(('VALOR POSTOS MÊS '!J40+('VALOR POSTOS MÊS '!J48+'VALOR POSTOS MÊS '!J62+(MAX(0,$C129-0.06*'VALOR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'!J62+(MAX(0,$C129-0.06*'VALOR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'!$D$149-$D129)</f>
        <v>19964.125821818187</v>
      </c>
      <c r="K129" s="621">
        <f>(('VALOR POSTOS MÊS '!K40+('VALOR POSTOS MÊS '!K48+'VALOR POSTOS MÊS '!K62+(MAX(0,$C129-0.06*'VALOR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'!K62+(MAX(0,$C129-0.06*'VALOR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'!$D$149-$D129)</f>
        <v>10555.705821818183</v>
      </c>
      <c r="L129" s="621">
        <f>(('VALOR POSTOS MÊS '!L40+('VALOR POSTOS MÊS '!L48+'VALOR POSTOS MÊS '!L62+(MAX(0,$C129-0.06*'VALOR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'!L62+(MAX(0,$C129-0.06*'VALOR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'!$D$149-$D129)</f>
        <v>10285.696730909092</v>
      </c>
      <c r="M129" s="604">
        <f>'CADASTRO V-T e ISS'!H129</f>
        <v>1</v>
      </c>
      <c r="N129" s="604">
        <f>'CADASTRO V-T e ISS'!I129</f>
        <v>1</v>
      </c>
      <c r="O129" s="604">
        <f>'CADASTRO V-T e ISS'!J129</f>
        <v>0</v>
      </c>
      <c r="P129" s="604">
        <f>'CADASTRO V-T e ISS'!K129</f>
        <v>0</v>
      </c>
      <c r="Q129" s="604">
        <f>'CADASTRO V-T e ISS'!L129</f>
        <v>0</v>
      </c>
      <c r="R129" s="604">
        <f>'CADASTRO V-T e ISS'!M129</f>
        <v>0</v>
      </c>
      <c r="S129" s="604">
        <f>'CADASTRO V-T e ISS'!N129</f>
        <v>0</v>
      </c>
      <c r="T129" s="604">
        <f>'CADASTRO V-T e ISS'!O129</f>
        <v>0</v>
      </c>
      <c r="U129" s="608">
        <f t="shared" si="12"/>
        <v>16710.473461818183</v>
      </c>
      <c r="V129" s="608">
        <f t="shared" si="13"/>
        <v>334.20946923636365</v>
      </c>
      <c r="W129" s="608">
        <f t="shared" si="14"/>
        <v>17044.682931054547</v>
      </c>
      <c r="X129" s="608">
        <f t="shared" si="15"/>
        <v>409072.39034530916</v>
      </c>
    </row>
    <row r="130" spans="1:24">
      <c r="A130" s="604">
        <f>'CADASTRO V-T e ISS'!A130</f>
        <v>125</v>
      </c>
      <c r="B130" s="605" t="str">
        <f>'CADASTRO V-T e ISS'!B130</f>
        <v>Ocara</v>
      </c>
      <c r="C130" s="606">
        <f>IF('CADASTRO V-T e ISS'!C130="SIM",'CADASTRO V-T e ISS'!D130*'CADASTRO V-T e ISS'!E130*'CADASTRO V-T e ISS'!F130,0)</f>
        <v>0</v>
      </c>
      <c r="D130" s="607">
        <f>'CADASTRO V-T e ISS'!G130</f>
        <v>0</v>
      </c>
      <c r="E130" s="621">
        <f>(('VALOR POSTOS MÊS '!E40+('VALOR POSTOS MÊS '!E48+'VALOR POSTOS MÊS '!E62+(MAX(0,$C130-0.06*'VALOR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'!$D$149-$D130)</f>
        <v>8428.8640036363649</v>
      </c>
      <c r="F130" s="621">
        <f>(('VALOR POSTOS MÊS '!F40+('VALOR POSTOS MÊS '!F48+'VALOR POSTOS MÊS '!F62+(MAX(0,$C130-0.06*'VALOR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'!$D$149-$D130)</f>
        <v>8281.6094581818197</v>
      </c>
      <c r="G130" s="621">
        <f>(('VALOR POSTOS MÊS '!G40+('VALOR POSTOS MÊS '!G48+'VALOR POSTOS MÊS '!G62+(MAX(0,$C130-0.06*'VALOR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'!$D$149-$D130)</f>
        <v>10267.560367272728</v>
      </c>
      <c r="H130" s="621">
        <f>(('VALOR POSTOS MÊS '!H40+('VALOR POSTOS MÊS '!H48+'VALOR POSTOS MÊS '!H62+(MAX(0,$C130-0.06*'VALOR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'!$D$149-$D130)</f>
        <v>12184.771276363639</v>
      </c>
      <c r="I130" s="621">
        <f>(('VALOR POSTOS MÊS '!I40+('VALOR POSTOS MÊS '!I48+'VALOR POSTOS MÊS '!I62+(MAX(0,$C130-0.06*'VALOR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'!$D$149-$D130)</f>
        <v>15820.113094545455</v>
      </c>
      <c r="J130" s="621">
        <f>(('VALOR POSTOS MÊS '!J40+('VALOR POSTOS MÊS '!J48+'VALOR POSTOS MÊS '!J62+(MAX(0,$C130-0.06*'VALOR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'!$D$149-$D130)</f>
        <v>19964.125821818187</v>
      </c>
      <c r="K130" s="621">
        <f>(('VALOR POSTOS MÊS '!K40+('VALOR POSTOS MÊS '!K48+'VALOR POSTOS MÊS '!K62+(MAX(0,$C130-0.06*'VALOR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'!$D$149-$D130)</f>
        <v>10555.705821818183</v>
      </c>
      <c r="L130" s="621">
        <f>(('VALOR POSTOS MÊS '!L40+('VALOR POSTOS MÊS '!L48+'VALOR POSTOS MÊS '!L62+(MAX(0,$C130-0.06*'VALOR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'!$D$149-$D130)</f>
        <v>10285.696730909092</v>
      </c>
      <c r="M130" s="604">
        <f>'CADASTRO V-T e ISS'!H130</f>
        <v>1</v>
      </c>
      <c r="N130" s="604">
        <f>'CADASTRO V-T e ISS'!I130</f>
        <v>1</v>
      </c>
      <c r="O130" s="604">
        <f>'CADASTRO V-T e ISS'!J130</f>
        <v>0</v>
      </c>
      <c r="P130" s="604">
        <f>'CADASTRO V-T e ISS'!K130</f>
        <v>0</v>
      </c>
      <c r="Q130" s="604">
        <f>'CADASTRO V-T e ISS'!L130</f>
        <v>0</v>
      </c>
      <c r="R130" s="604">
        <f>'CADASTRO V-T e ISS'!M130</f>
        <v>0</v>
      </c>
      <c r="S130" s="604">
        <f>'CADASTRO V-T e ISS'!N130</f>
        <v>0</v>
      </c>
      <c r="T130" s="604">
        <f>'CADASTRO V-T e ISS'!O130</f>
        <v>0</v>
      </c>
      <c r="U130" s="608">
        <f t="shared" si="12"/>
        <v>16710.473461818183</v>
      </c>
      <c r="V130" s="608">
        <f t="shared" si="13"/>
        <v>334.20946923636365</v>
      </c>
      <c r="W130" s="608">
        <f t="shared" si="14"/>
        <v>17044.682931054547</v>
      </c>
      <c r="X130" s="608">
        <f t="shared" si="15"/>
        <v>409072.39034530916</v>
      </c>
    </row>
    <row r="131" spans="1:24">
      <c r="A131" s="604">
        <f>'CADASTRO V-T e ISS'!A131</f>
        <v>126</v>
      </c>
      <c r="B131" s="605" t="str">
        <f>'CADASTRO V-T e ISS'!B131</f>
        <v>Orós</v>
      </c>
      <c r="C131" s="606">
        <f>IF('CADASTRO V-T e ISS'!C131="SIM",'CADASTRO V-T e ISS'!D131*'CADASTRO V-T e ISS'!E131*'CADASTRO V-T e ISS'!F131,0)</f>
        <v>0</v>
      </c>
      <c r="D131" s="607">
        <f>'CADASTRO V-T e ISS'!G131</f>
        <v>0</v>
      </c>
      <c r="E131" s="621">
        <f>(('VALOR POSTOS MÊS '!E40+('VALOR POSTOS MÊS '!E48+'VALOR POSTOS MÊS '!E62+(MAX(0,$C131-0.06*'VALOR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'!$D$149-$D131)</f>
        <v>8428.8640036363649</v>
      </c>
      <c r="F131" s="621">
        <f>(('VALOR POSTOS MÊS '!F40+('VALOR POSTOS MÊS '!F48+'VALOR POSTOS MÊS '!F62+(MAX(0,$C131-0.06*'VALOR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'!$D$149-$D131)</f>
        <v>8281.6094581818197</v>
      </c>
      <c r="G131" s="621">
        <f>(('VALOR POSTOS MÊS '!G40+('VALOR POSTOS MÊS '!G48+'VALOR POSTOS MÊS '!G62+(MAX(0,$C131-0.06*'VALOR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'!$D$149-$D131)</f>
        <v>10267.560367272728</v>
      </c>
      <c r="H131" s="621">
        <f>(('VALOR POSTOS MÊS '!H40+('VALOR POSTOS MÊS '!H48+'VALOR POSTOS MÊS '!H62+(MAX(0,$C131-0.06*'VALOR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'!$D$149-$D131)</f>
        <v>12184.771276363639</v>
      </c>
      <c r="I131" s="621">
        <f>(('VALOR POSTOS MÊS '!I40+('VALOR POSTOS MÊS '!I48+'VALOR POSTOS MÊS '!I62+(MAX(0,$C131-0.06*'VALOR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'!$D$149-$D131)</f>
        <v>15820.113094545455</v>
      </c>
      <c r="J131" s="621">
        <f>(('VALOR POSTOS MÊS '!J40+('VALOR POSTOS MÊS '!J48+'VALOR POSTOS MÊS '!J62+(MAX(0,$C131-0.06*'VALOR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'!$D$149-$D131)</f>
        <v>19964.125821818187</v>
      </c>
      <c r="K131" s="621">
        <f>(('VALOR POSTOS MÊS '!K40+('VALOR POSTOS MÊS '!K48+'VALOR POSTOS MÊS '!K62+(MAX(0,$C131-0.06*'VALOR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'!$D$149-$D131)</f>
        <v>10555.705821818183</v>
      </c>
      <c r="L131" s="621">
        <f>(('VALOR POSTOS MÊS '!L40+('VALOR POSTOS MÊS '!L48+'VALOR POSTOS MÊS '!L62+(MAX(0,$C131-0.06*'VALOR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'!$D$149-$D131)</f>
        <v>10285.696730909092</v>
      </c>
      <c r="M131" s="604">
        <f>'CADASTRO V-T e ISS'!H131</f>
        <v>0</v>
      </c>
      <c r="N131" s="604">
        <f>'CADASTRO V-T e ISS'!I131</f>
        <v>0</v>
      </c>
      <c r="O131" s="604">
        <f>'CADASTRO V-T e ISS'!J131</f>
        <v>0</v>
      </c>
      <c r="P131" s="604">
        <f>'CADASTRO V-T e ISS'!K131</f>
        <v>0</v>
      </c>
      <c r="Q131" s="604">
        <f>'CADASTRO V-T e ISS'!L131</f>
        <v>0</v>
      </c>
      <c r="R131" s="604">
        <f>'CADASTRO V-T e ISS'!M131</f>
        <v>0</v>
      </c>
      <c r="S131" s="604">
        <f>'CADASTRO V-T e ISS'!N131</f>
        <v>0</v>
      </c>
      <c r="T131" s="604">
        <f>'CADASTRO V-T e ISS'!O131</f>
        <v>0</v>
      </c>
      <c r="U131" s="608">
        <f t="shared" si="12"/>
        <v>0</v>
      </c>
      <c r="V131" s="608">
        <f t="shared" si="13"/>
        <v>0</v>
      </c>
      <c r="W131" s="608">
        <f t="shared" si="14"/>
        <v>0</v>
      </c>
      <c r="X131" s="608">
        <f t="shared" si="15"/>
        <v>0</v>
      </c>
    </row>
    <row r="132" spans="1:24">
      <c r="A132" s="604">
        <f>'CADASTRO V-T e ISS'!A132</f>
        <v>127</v>
      </c>
      <c r="B132" s="605" t="str">
        <f>'CADASTRO V-T e ISS'!B132</f>
        <v>Pacajus</v>
      </c>
      <c r="C132" s="606">
        <f>IF('CADASTRO V-T e ISS'!C132="SIM",'CADASTRO V-T e ISS'!D132*'CADASTRO V-T e ISS'!E132*'CADASTRO V-T e ISS'!F132,0)</f>
        <v>0</v>
      </c>
      <c r="D132" s="607">
        <f>'CADASTRO V-T e ISS'!G132</f>
        <v>0</v>
      </c>
      <c r="E132" s="621">
        <f>(('VALOR POSTOS MÊS '!E40+('VALOR POSTOS MÊS '!E48+'VALOR POSTOS MÊS '!E62+(MAX(0,$C132-0.06*'VALOR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'!$D$149-$D132)</f>
        <v>8428.8640036363649</v>
      </c>
      <c r="F132" s="621">
        <f>(('VALOR POSTOS MÊS '!F40+('VALOR POSTOS MÊS '!F48+'VALOR POSTOS MÊS '!F62+(MAX(0,$C132-0.06*'VALOR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'!$D$149-$D132)</f>
        <v>8281.6094581818197</v>
      </c>
      <c r="G132" s="621">
        <f>(('VALOR POSTOS MÊS '!G40+('VALOR POSTOS MÊS '!G48+'VALOR POSTOS MÊS '!G62+(MAX(0,$C132-0.06*'VALOR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'!$D$149-$D132)</f>
        <v>10267.560367272728</v>
      </c>
      <c r="H132" s="621">
        <f>(('VALOR POSTOS MÊS '!H40+('VALOR POSTOS MÊS '!H48+'VALOR POSTOS MÊS '!H62+(MAX(0,$C132-0.06*'VALOR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'!$D$149-$D132)</f>
        <v>12184.771276363639</v>
      </c>
      <c r="I132" s="621">
        <f>(('VALOR POSTOS MÊS '!I40+('VALOR POSTOS MÊS '!I48+'VALOR POSTOS MÊS '!I62+(MAX(0,$C132-0.06*'VALOR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'!$D$149-$D132)</f>
        <v>15820.113094545455</v>
      </c>
      <c r="J132" s="621">
        <f>(('VALOR POSTOS MÊS '!J40+('VALOR POSTOS MÊS '!J48+'VALOR POSTOS MÊS '!J62+(MAX(0,$C132-0.06*'VALOR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'!$D$149-$D132)</f>
        <v>19964.125821818187</v>
      </c>
      <c r="K132" s="621">
        <f>(('VALOR POSTOS MÊS '!K40+('VALOR POSTOS MÊS '!K48+'VALOR POSTOS MÊS '!K62+(MAX(0,$C132-0.06*'VALOR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'!$D$149-$D132)</f>
        <v>10555.705821818183</v>
      </c>
      <c r="L132" s="621">
        <f>(('VALOR POSTOS MÊS '!L40+('VALOR POSTOS MÊS '!L48+'VALOR POSTOS MÊS '!L62+(MAX(0,$C132-0.06*'VALOR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'!$D$149-$D132)</f>
        <v>10285.696730909092</v>
      </c>
      <c r="M132" s="604">
        <f>'CADASTRO V-T e ISS'!H132</f>
        <v>1</v>
      </c>
      <c r="N132" s="604">
        <f>'CADASTRO V-T e ISS'!I132</f>
        <v>2</v>
      </c>
      <c r="O132" s="604">
        <f>'CADASTRO V-T e ISS'!J132</f>
        <v>0</v>
      </c>
      <c r="P132" s="604">
        <f>'CADASTRO V-T e ISS'!K132</f>
        <v>0</v>
      </c>
      <c r="Q132" s="604">
        <f>'CADASTRO V-T e ISS'!L132</f>
        <v>0</v>
      </c>
      <c r="R132" s="604">
        <f>'CADASTRO V-T e ISS'!M132</f>
        <v>0</v>
      </c>
      <c r="S132" s="604">
        <f>'CADASTRO V-T e ISS'!N132</f>
        <v>0</v>
      </c>
      <c r="T132" s="604">
        <f>'CADASTRO V-T e ISS'!O132</f>
        <v>0</v>
      </c>
      <c r="U132" s="608">
        <f t="shared" si="12"/>
        <v>24992.082920000004</v>
      </c>
      <c r="V132" s="608">
        <f t="shared" si="13"/>
        <v>499.84165840000009</v>
      </c>
      <c r="W132" s="608">
        <f t="shared" si="14"/>
        <v>25491.924578400005</v>
      </c>
      <c r="X132" s="608">
        <f t="shared" si="15"/>
        <v>611806.18988160009</v>
      </c>
    </row>
    <row r="133" spans="1:24">
      <c r="A133" s="604">
        <f>'CADASTRO V-T e ISS'!A133</f>
        <v>128</v>
      </c>
      <c r="B133" s="605" t="str">
        <f>'CADASTRO V-T e ISS'!B133</f>
        <v>Pacatuba</v>
      </c>
      <c r="C133" s="606">
        <f>IF('CADASTRO V-T e ISS'!C133="SIM",'CADASTRO V-T e ISS'!D133*'CADASTRO V-T e ISS'!E133*'CADASTRO V-T e ISS'!F133,0)</f>
        <v>0</v>
      </c>
      <c r="D133" s="607">
        <f>'CADASTRO V-T e ISS'!G133</f>
        <v>0</v>
      </c>
      <c r="E133" s="621">
        <f>(('VALOR POSTOS MÊS '!E40+('VALOR POSTOS MÊS '!E48+'VALOR POSTOS MÊS '!E62+(MAX(0,$C133-0.06*'VALOR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'!$D$149-$D133)</f>
        <v>8428.8640036363649</v>
      </c>
      <c r="F133" s="621">
        <f>(('VALOR POSTOS MÊS '!F40+('VALOR POSTOS MÊS '!F48+'VALOR POSTOS MÊS '!F62+(MAX(0,$C133-0.06*'VALOR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'!$D$149-$D133)</f>
        <v>8281.6094581818197</v>
      </c>
      <c r="G133" s="621">
        <f>(('VALOR POSTOS MÊS '!G40+('VALOR POSTOS MÊS '!G48+'VALOR POSTOS MÊS '!G62+(MAX(0,$C133-0.06*'VALOR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'!$D$149-$D133)</f>
        <v>10267.560367272728</v>
      </c>
      <c r="H133" s="621">
        <f>(('VALOR POSTOS MÊS '!H40+('VALOR POSTOS MÊS '!H48+'VALOR POSTOS MÊS '!H62+(MAX(0,$C133-0.06*'VALOR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'!$D$149-$D133)</f>
        <v>12184.771276363639</v>
      </c>
      <c r="I133" s="621">
        <f>(('VALOR POSTOS MÊS '!I40+('VALOR POSTOS MÊS '!I48+'VALOR POSTOS MÊS '!I62+(MAX(0,$C133-0.06*'VALOR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'!$D$149-$D133)</f>
        <v>15820.113094545455</v>
      </c>
      <c r="J133" s="621">
        <f>(('VALOR POSTOS MÊS '!J40+('VALOR POSTOS MÊS '!J48+'VALOR POSTOS MÊS '!J62+(MAX(0,$C133-0.06*'VALOR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'!$D$149-$D133)</f>
        <v>19964.125821818187</v>
      </c>
      <c r="K133" s="621">
        <f>(('VALOR POSTOS MÊS '!K40+('VALOR POSTOS MÊS '!K48+'VALOR POSTOS MÊS '!K62+(MAX(0,$C133-0.06*'VALOR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'!$D$149-$D133)</f>
        <v>10555.705821818183</v>
      </c>
      <c r="L133" s="621">
        <f>(('VALOR POSTOS MÊS '!L40+('VALOR POSTOS MÊS '!L48+'VALOR POSTOS MÊS '!L62+(MAX(0,$C133-0.06*'VALOR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'!$D$149-$D133)</f>
        <v>10285.696730909092</v>
      </c>
      <c r="M133" s="604">
        <f>'CADASTRO V-T e ISS'!H133</f>
        <v>1</v>
      </c>
      <c r="N133" s="604">
        <f>'CADASTRO V-T e ISS'!I133</f>
        <v>2</v>
      </c>
      <c r="O133" s="604">
        <f>'CADASTRO V-T e ISS'!J133</f>
        <v>0</v>
      </c>
      <c r="P133" s="604">
        <f>'CADASTRO V-T e ISS'!K133</f>
        <v>0</v>
      </c>
      <c r="Q133" s="604">
        <f>'CADASTRO V-T e ISS'!L133</f>
        <v>0</v>
      </c>
      <c r="R133" s="604">
        <f>'CADASTRO V-T e ISS'!M133</f>
        <v>0</v>
      </c>
      <c r="S133" s="604">
        <f>'CADASTRO V-T e ISS'!N133</f>
        <v>0</v>
      </c>
      <c r="T133" s="604">
        <f>'CADASTRO V-T e ISS'!O133</f>
        <v>0</v>
      </c>
      <c r="U133" s="608">
        <f t="shared" si="12"/>
        <v>24992.082920000004</v>
      </c>
      <c r="V133" s="608">
        <f t="shared" si="13"/>
        <v>499.84165840000009</v>
      </c>
      <c r="W133" s="608">
        <f t="shared" si="14"/>
        <v>25491.924578400005</v>
      </c>
      <c r="X133" s="608">
        <f t="shared" si="15"/>
        <v>611806.18988160009</v>
      </c>
    </row>
    <row r="134" spans="1:24">
      <c r="A134" s="604">
        <f>'CADASTRO V-T e ISS'!A134</f>
        <v>129</v>
      </c>
      <c r="B134" s="605" t="str">
        <f>'CADASTRO V-T e ISS'!B134</f>
        <v>Pacoti</v>
      </c>
      <c r="C134" s="606">
        <f>IF('CADASTRO V-T e ISS'!C134="SIM",'CADASTRO V-T e ISS'!D134*'CADASTRO V-T e ISS'!E134*'CADASTRO V-T e ISS'!F134,0)</f>
        <v>0</v>
      </c>
      <c r="D134" s="607">
        <f>'CADASTRO V-T e ISS'!G134</f>
        <v>0</v>
      </c>
      <c r="E134" s="621">
        <f>(('VALOR POSTOS MÊS '!E40+('VALOR POSTOS MÊS '!E48+'VALOR POSTOS MÊS '!E62+(MAX(0,$C134-0.06*'VALOR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'!$D$149-$D134)</f>
        <v>8428.8640036363649</v>
      </c>
      <c r="F134" s="621">
        <f>(('VALOR POSTOS MÊS '!F40+('VALOR POSTOS MÊS '!F48+'VALOR POSTOS MÊS '!F62+(MAX(0,$C134-0.06*'VALOR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'!$D$149-$D134)</f>
        <v>8281.6094581818197</v>
      </c>
      <c r="G134" s="621">
        <f>(('VALOR POSTOS MÊS '!G40+('VALOR POSTOS MÊS '!G48+'VALOR POSTOS MÊS '!G62+(MAX(0,$C134-0.06*'VALOR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'!$D$149-$D134)</f>
        <v>10267.560367272728</v>
      </c>
      <c r="H134" s="621">
        <f>(('VALOR POSTOS MÊS '!H40+('VALOR POSTOS MÊS '!H48+'VALOR POSTOS MÊS '!H62+(MAX(0,$C134-0.06*'VALOR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'!$D$149-$D134)</f>
        <v>12184.771276363639</v>
      </c>
      <c r="I134" s="621">
        <f>(('VALOR POSTOS MÊS '!I40+('VALOR POSTOS MÊS '!I48+'VALOR POSTOS MÊS '!I62+(MAX(0,$C134-0.06*'VALOR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'!$D$149-$D134)</f>
        <v>15820.113094545455</v>
      </c>
      <c r="J134" s="621">
        <f>(('VALOR POSTOS MÊS '!J40+('VALOR POSTOS MÊS '!J48+'VALOR POSTOS MÊS '!J62+(MAX(0,$C134-0.06*'VALOR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'!$D$149-$D134)</f>
        <v>19964.125821818187</v>
      </c>
      <c r="K134" s="621">
        <f>(('VALOR POSTOS MÊS '!K40+('VALOR POSTOS MÊS '!K48+'VALOR POSTOS MÊS '!K62+(MAX(0,$C134-0.06*'VALOR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'!$D$149-$D134)</f>
        <v>10555.705821818183</v>
      </c>
      <c r="L134" s="621">
        <f>(('VALOR POSTOS MÊS '!L40+('VALOR POSTOS MÊS '!L48+'VALOR POSTOS MÊS '!L62+(MAX(0,$C134-0.06*'VALOR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'!$D$149-$D134)</f>
        <v>10285.696730909092</v>
      </c>
      <c r="M134" s="604">
        <f>'CADASTRO V-T e ISS'!H134</f>
        <v>1</v>
      </c>
      <c r="N134" s="604">
        <f>'CADASTRO V-T e ISS'!I134</f>
        <v>1</v>
      </c>
      <c r="O134" s="604">
        <f>'CADASTRO V-T e ISS'!J134</f>
        <v>0</v>
      </c>
      <c r="P134" s="604">
        <f>'CADASTRO V-T e ISS'!K134</f>
        <v>0</v>
      </c>
      <c r="Q134" s="604">
        <f>'CADASTRO V-T e ISS'!L134</f>
        <v>0</v>
      </c>
      <c r="R134" s="604">
        <f>'CADASTRO V-T e ISS'!M134</f>
        <v>0</v>
      </c>
      <c r="S134" s="604">
        <f>'CADASTRO V-T e ISS'!N134</f>
        <v>0</v>
      </c>
      <c r="T134" s="604">
        <f>'CADASTRO V-T e ISS'!O134</f>
        <v>0</v>
      </c>
      <c r="U134" s="608">
        <f t="shared" ref="U134:U165" si="16">SUMPRODUCT(E134:L134,M134:T134)</f>
        <v>16710.473461818183</v>
      </c>
      <c r="V134" s="608">
        <f t="shared" ref="V134:V165" si="17">U134*0.02</f>
        <v>334.20946923636365</v>
      </c>
      <c r="W134" s="608">
        <f t="shared" ref="W134:W165" si="18">U134+V134</f>
        <v>17044.682931054547</v>
      </c>
      <c r="X134" s="608">
        <f t="shared" ref="X134:X165" si="19">W134*24</f>
        <v>409072.39034530916</v>
      </c>
    </row>
    <row r="135" spans="1:24">
      <c r="A135" s="604">
        <f>'CADASTRO V-T e ISS'!A135</f>
        <v>130</v>
      </c>
      <c r="B135" s="605" t="str">
        <f>'CADASTRO V-T e ISS'!B135</f>
        <v>Pacujá</v>
      </c>
      <c r="C135" s="606">
        <f>IF('CADASTRO V-T e ISS'!C135="SIM",'CADASTRO V-T e ISS'!D135*'CADASTRO V-T e ISS'!E135*'CADASTRO V-T e ISS'!F135,0)</f>
        <v>0</v>
      </c>
      <c r="D135" s="607">
        <f>'CADASTRO V-T e ISS'!G135</f>
        <v>0</v>
      </c>
      <c r="E135" s="621">
        <f>(('VALOR POSTOS MÊS '!E40+('VALOR POSTOS MÊS '!E48+'VALOR POSTOS MÊS '!E62+(MAX(0,$C135-0.06*'VALOR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'!$D$149-$D135)</f>
        <v>8428.8640036363649</v>
      </c>
      <c r="F135" s="621">
        <f>(('VALOR POSTOS MÊS '!F40+('VALOR POSTOS MÊS '!F48+'VALOR POSTOS MÊS '!F62+(MAX(0,$C135-0.06*'VALOR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'!$D$149-$D135)</f>
        <v>8281.6094581818197</v>
      </c>
      <c r="G135" s="621">
        <f>(('VALOR POSTOS MÊS '!G40+('VALOR POSTOS MÊS '!G48+'VALOR POSTOS MÊS '!G62+(MAX(0,$C135-0.06*'VALOR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'!$D$149-$D135)</f>
        <v>10267.560367272728</v>
      </c>
      <c r="H135" s="621">
        <f>(('VALOR POSTOS MÊS '!H40+('VALOR POSTOS MÊS '!H48+'VALOR POSTOS MÊS '!H62+(MAX(0,$C135-0.06*'VALOR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'!$D$149-$D135)</f>
        <v>12184.771276363639</v>
      </c>
      <c r="I135" s="621">
        <f>(('VALOR POSTOS MÊS '!I40+('VALOR POSTOS MÊS '!I48+'VALOR POSTOS MÊS '!I62+(MAX(0,$C135-0.06*'VALOR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'!$D$149-$D135)</f>
        <v>15820.113094545455</v>
      </c>
      <c r="J135" s="621">
        <f>(('VALOR POSTOS MÊS '!J40+('VALOR POSTOS MÊS '!J48+'VALOR POSTOS MÊS '!J62+(MAX(0,$C135-0.06*'VALOR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'!$D$149-$D135)</f>
        <v>19964.125821818187</v>
      </c>
      <c r="K135" s="621">
        <f>(('VALOR POSTOS MÊS '!K40+('VALOR POSTOS MÊS '!K48+'VALOR POSTOS MÊS '!K62+(MAX(0,$C135-0.06*'VALOR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'!$D$149-$D135)</f>
        <v>10555.705821818183</v>
      </c>
      <c r="L135" s="621">
        <f>(('VALOR POSTOS MÊS '!L40+('VALOR POSTOS MÊS '!L48+'VALOR POSTOS MÊS '!L62+(MAX(0,$C135-0.06*'VALOR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'!$D$149-$D135)</f>
        <v>10285.696730909092</v>
      </c>
      <c r="M135" s="604">
        <f>'CADASTRO V-T e ISS'!H135</f>
        <v>0</v>
      </c>
      <c r="N135" s="604">
        <f>'CADASTRO V-T e ISS'!I135</f>
        <v>0</v>
      </c>
      <c r="O135" s="604">
        <f>'CADASTRO V-T e ISS'!J135</f>
        <v>0</v>
      </c>
      <c r="P135" s="604">
        <f>'CADASTRO V-T e ISS'!K135</f>
        <v>0</v>
      </c>
      <c r="Q135" s="604">
        <f>'CADASTRO V-T e ISS'!L135</f>
        <v>0</v>
      </c>
      <c r="R135" s="604">
        <f>'CADASTRO V-T e ISS'!M135</f>
        <v>0</v>
      </c>
      <c r="S135" s="604">
        <f>'CADASTRO V-T e ISS'!N135</f>
        <v>0</v>
      </c>
      <c r="T135" s="604">
        <f>'CADASTRO V-T e ISS'!O135</f>
        <v>0</v>
      </c>
      <c r="U135" s="608">
        <f t="shared" si="16"/>
        <v>0</v>
      </c>
      <c r="V135" s="608">
        <f t="shared" si="17"/>
        <v>0</v>
      </c>
      <c r="W135" s="608">
        <f t="shared" si="18"/>
        <v>0</v>
      </c>
      <c r="X135" s="608">
        <f t="shared" si="19"/>
        <v>0</v>
      </c>
    </row>
    <row r="136" spans="1:24">
      <c r="A136" s="604">
        <f>'CADASTRO V-T e ISS'!A136</f>
        <v>131</v>
      </c>
      <c r="B136" s="605" t="str">
        <f>'CADASTRO V-T e ISS'!B136</f>
        <v>Palhano</v>
      </c>
      <c r="C136" s="606">
        <f>IF('CADASTRO V-T e ISS'!C136="SIM",'CADASTRO V-T e ISS'!D136*'CADASTRO V-T e ISS'!E136*'CADASTRO V-T e ISS'!F136,0)</f>
        <v>0</v>
      </c>
      <c r="D136" s="607">
        <f>'CADASTRO V-T e ISS'!G136</f>
        <v>0</v>
      </c>
      <c r="E136" s="621">
        <f>(('VALOR POSTOS MÊS '!E40+('VALOR POSTOS MÊS '!E48+'VALOR POSTOS MÊS '!E62+(MAX(0,$C136-0.06*'VALOR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'!$D$149-$D136)</f>
        <v>8428.8640036363649</v>
      </c>
      <c r="F136" s="621">
        <f>(('VALOR POSTOS MÊS '!F40+('VALOR POSTOS MÊS '!F48+'VALOR POSTOS MÊS '!F62+(MAX(0,$C136-0.06*'VALOR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'!$D$149-$D136)</f>
        <v>8281.6094581818197</v>
      </c>
      <c r="G136" s="621">
        <f>(('VALOR POSTOS MÊS '!G40+('VALOR POSTOS MÊS '!G48+'VALOR POSTOS MÊS '!G62+(MAX(0,$C136-0.06*'VALOR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'!$D$149-$D136)</f>
        <v>10267.560367272728</v>
      </c>
      <c r="H136" s="621">
        <f>(('VALOR POSTOS MÊS '!H40+('VALOR POSTOS MÊS '!H48+'VALOR POSTOS MÊS '!H62+(MAX(0,$C136-0.06*'VALOR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'!$D$149-$D136)</f>
        <v>12184.771276363639</v>
      </c>
      <c r="I136" s="621">
        <f>(('VALOR POSTOS MÊS '!I40+('VALOR POSTOS MÊS '!I48+'VALOR POSTOS MÊS '!I62+(MAX(0,$C136-0.06*'VALOR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'!$D$149-$D136)</f>
        <v>15820.113094545455</v>
      </c>
      <c r="J136" s="621">
        <f>(('VALOR POSTOS MÊS '!J40+('VALOR POSTOS MÊS '!J48+'VALOR POSTOS MÊS '!J62+(MAX(0,$C136-0.06*'VALOR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'!$D$149-$D136)</f>
        <v>19964.125821818187</v>
      </c>
      <c r="K136" s="621">
        <f>(('VALOR POSTOS MÊS '!K40+('VALOR POSTOS MÊS '!K48+'VALOR POSTOS MÊS '!K62+(MAX(0,$C136-0.06*'VALOR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'!$D$149-$D136)</f>
        <v>10555.705821818183</v>
      </c>
      <c r="L136" s="621">
        <f>(('VALOR POSTOS MÊS '!L40+('VALOR POSTOS MÊS '!L48+'VALOR POSTOS MÊS '!L62+(MAX(0,$C136-0.06*'VALOR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'!$D$149-$D136)</f>
        <v>10285.696730909092</v>
      </c>
      <c r="M136" s="604">
        <f>'CADASTRO V-T e ISS'!H136</f>
        <v>0</v>
      </c>
      <c r="N136" s="604">
        <f>'CADASTRO V-T e ISS'!I136</f>
        <v>0</v>
      </c>
      <c r="O136" s="604">
        <f>'CADASTRO V-T e ISS'!J136</f>
        <v>0</v>
      </c>
      <c r="P136" s="604">
        <f>'CADASTRO V-T e ISS'!K136</f>
        <v>0</v>
      </c>
      <c r="Q136" s="604">
        <f>'CADASTRO V-T e ISS'!L136</f>
        <v>0</v>
      </c>
      <c r="R136" s="604">
        <f>'CADASTRO V-T e ISS'!M136</f>
        <v>0</v>
      </c>
      <c r="S136" s="604">
        <f>'CADASTRO V-T e ISS'!N136</f>
        <v>0</v>
      </c>
      <c r="T136" s="604">
        <f>'CADASTRO V-T e ISS'!O136</f>
        <v>0</v>
      </c>
      <c r="U136" s="608">
        <f t="shared" si="16"/>
        <v>0</v>
      </c>
      <c r="V136" s="608">
        <f t="shared" si="17"/>
        <v>0</v>
      </c>
      <c r="W136" s="608">
        <f t="shared" si="18"/>
        <v>0</v>
      </c>
      <c r="X136" s="608">
        <f t="shared" si="19"/>
        <v>0</v>
      </c>
    </row>
    <row r="137" spans="1:24">
      <c r="A137" s="604">
        <f>'CADASTRO V-T e ISS'!A137</f>
        <v>132</v>
      </c>
      <c r="B137" s="605" t="str">
        <f>'CADASTRO V-T e ISS'!B137</f>
        <v>Palmácia</v>
      </c>
      <c r="C137" s="606">
        <f>IF('CADASTRO V-T e ISS'!C137="SIM",'CADASTRO V-T e ISS'!D137*'CADASTRO V-T e ISS'!E137*'CADASTRO V-T e ISS'!F137,0)</f>
        <v>0</v>
      </c>
      <c r="D137" s="607">
        <f>'CADASTRO V-T e ISS'!G137</f>
        <v>0</v>
      </c>
      <c r="E137" s="621">
        <f>(('VALOR POSTOS MÊS '!E40+('VALOR POSTOS MÊS '!E48+'VALOR POSTOS MÊS '!E62+(MAX(0,$C137-0.06*'VALOR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'!$D$149-$D137)</f>
        <v>8428.8640036363649</v>
      </c>
      <c r="F137" s="621">
        <f>(('VALOR POSTOS MÊS '!F40+('VALOR POSTOS MÊS '!F48+'VALOR POSTOS MÊS '!F62+(MAX(0,$C137-0.06*'VALOR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'!$D$149-$D137)</f>
        <v>8281.6094581818197</v>
      </c>
      <c r="G137" s="621">
        <f>(('VALOR POSTOS MÊS '!G40+('VALOR POSTOS MÊS '!G48+'VALOR POSTOS MÊS '!G62+(MAX(0,$C137-0.06*'VALOR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'!$D$149-$D137)</f>
        <v>10267.560367272728</v>
      </c>
      <c r="H137" s="621">
        <f>(('VALOR POSTOS MÊS '!H40+('VALOR POSTOS MÊS '!H48+'VALOR POSTOS MÊS '!H62+(MAX(0,$C137-0.06*'VALOR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'!$D$149-$D137)</f>
        <v>12184.771276363639</v>
      </c>
      <c r="I137" s="621">
        <f>(('VALOR POSTOS MÊS '!I40+('VALOR POSTOS MÊS '!I48+'VALOR POSTOS MÊS '!I62+(MAX(0,$C137-0.06*'VALOR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'!$D$149-$D137)</f>
        <v>15820.113094545455</v>
      </c>
      <c r="J137" s="621">
        <f>(('VALOR POSTOS MÊS '!J40+('VALOR POSTOS MÊS '!J48+'VALOR POSTOS MÊS '!J62+(MAX(0,$C137-0.06*'VALOR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'!$D$149-$D137)</f>
        <v>19964.125821818187</v>
      </c>
      <c r="K137" s="621">
        <f>(('VALOR POSTOS MÊS '!K40+('VALOR POSTOS MÊS '!K48+'VALOR POSTOS MÊS '!K62+(MAX(0,$C137-0.06*'VALOR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'!$D$149-$D137)</f>
        <v>10555.705821818183</v>
      </c>
      <c r="L137" s="621">
        <f>(('VALOR POSTOS MÊS '!L40+('VALOR POSTOS MÊS '!L48+'VALOR POSTOS MÊS '!L62+(MAX(0,$C137-0.06*'VALOR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'!$D$149-$D137)</f>
        <v>10285.696730909092</v>
      </c>
      <c r="M137" s="604">
        <f>'CADASTRO V-T e ISS'!H137</f>
        <v>0</v>
      </c>
      <c r="N137" s="604">
        <f>'CADASTRO V-T e ISS'!I137</f>
        <v>0</v>
      </c>
      <c r="O137" s="604">
        <f>'CADASTRO V-T e ISS'!J137</f>
        <v>0</v>
      </c>
      <c r="P137" s="604">
        <f>'CADASTRO V-T e ISS'!K137</f>
        <v>0</v>
      </c>
      <c r="Q137" s="604">
        <f>'CADASTRO V-T e ISS'!L137</f>
        <v>0</v>
      </c>
      <c r="R137" s="604">
        <f>'CADASTRO V-T e ISS'!M137</f>
        <v>0</v>
      </c>
      <c r="S137" s="604">
        <f>'CADASTRO V-T e ISS'!N137</f>
        <v>0</v>
      </c>
      <c r="T137" s="604">
        <f>'CADASTRO V-T e ISS'!O137</f>
        <v>0</v>
      </c>
      <c r="U137" s="608">
        <f t="shared" si="16"/>
        <v>0</v>
      </c>
      <c r="V137" s="608">
        <f t="shared" si="17"/>
        <v>0</v>
      </c>
      <c r="W137" s="608">
        <f t="shared" si="18"/>
        <v>0</v>
      </c>
      <c r="X137" s="608">
        <f t="shared" si="19"/>
        <v>0</v>
      </c>
    </row>
    <row r="138" spans="1:24">
      <c r="A138" s="604">
        <f>'CADASTRO V-T e ISS'!A138</f>
        <v>133</v>
      </c>
      <c r="B138" s="605" t="str">
        <f>'CADASTRO V-T e ISS'!B138</f>
        <v>Paracuru</v>
      </c>
      <c r="C138" s="606">
        <f>IF('CADASTRO V-T e ISS'!C138="SIM",'CADASTRO V-T e ISS'!D138*'CADASTRO V-T e ISS'!E138*'CADASTRO V-T e ISS'!F138,0)</f>
        <v>0</v>
      </c>
      <c r="D138" s="607">
        <f>'CADASTRO V-T e ISS'!G138</f>
        <v>0</v>
      </c>
      <c r="E138" s="621">
        <f>(('VALOR POSTOS MÊS '!E40+('VALOR POSTOS MÊS '!E48+'VALOR POSTOS MÊS '!E62+(MAX(0,$C138-0.06*'VALOR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'!$D$149-$D138)</f>
        <v>8428.8640036363649</v>
      </c>
      <c r="F138" s="621">
        <f>(('VALOR POSTOS MÊS '!F40+('VALOR POSTOS MÊS '!F48+'VALOR POSTOS MÊS '!F62+(MAX(0,$C138-0.06*'VALOR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'!$D$149-$D138)</f>
        <v>8281.6094581818197</v>
      </c>
      <c r="G138" s="621">
        <f>(('VALOR POSTOS MÊS '!G40+('VALOR POSTOS MÊS '!G48+'VALOR POSTOS MÊS '!G62+(MAX(0,$C138-0.06*'VALOR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'!$D$149-$D138)</f>
        <v>10267.560367272728</v>
      </c>
      <c r="H138" s="621">
        <f>(('VALOR POSTOS MÊS '!H40+('VALOR POSTOS MÊS '!H48+'VALOR POSTOS MÊS '!H62+(MAX(0,$C138-0.06*'VALOR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'!$D$149-$D138)</f>
        <v>12184.771276363639</v>
      </c>
      <c r="I138" s="621">
        <f>(('VALOR POSTOS MÊS '!I40+('VALOR POSTOS MÊS '!I48+'VALOR POSTOS MÊS '!I62+(MAX(0,$C138-0.06*'VALOR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'!$D$149-$D138)</f>
        <v>15820.113094545455</v>
      </c>
      <c r="J138" s="621">
        <f>(('VALOR POSTOS MÊS '!J40+('VALOR POSTOS MÊS '!J48+'VALOR POSTOS MÊS '!J62+(MAX(0,$C138-0.06*'VALOR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'!$D$149-$D138)</f>
        <v>19964.125821818187</v>
      </c>
      <c r="K138" s="621">
        <f>(('VALOR POSTOS MÊS '!K40+('VALOR POSTOS MÊS '!K48+'VALOR POSTOS MÊS '!K62+(MAX(0,$C138-0.06*'VALOR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'!$D$149-$D138)</f>
        <v>10555.705821818183</v>
      </c>
      <c r="L138" s="621">
        <f>(('VALOR POSTOS MÊS '!L40+('VALOR POSTOS MÊS '!L48+'VALOR POSTOS MÊS '!L62+(MAX(0,$C138-0.06*'VALOR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'!$D$149-$D138)</f>
        <v>10285.696730909092</v>
      </c>
      <c r="M138" s="604">
        <f>'CADASTRO V-T e ISS'!H138</f>
        <v>1</v>
      </c>
      <c r="N138" s="604">
        <f>'CADASTRO V-T e ISS'!I138</f>
        <v>1</v>
      </c>
      <c r="O138" s="604">
        <f>'CADASTRO V-T e ISS'!J138</f>
        <v>0</v>
      </c>
      <c r="P138" s="604">
        <f>'CADASTRO V-T e ISS'!K138</f>
        <v>0</v>
      </c>
      <c r="Q138" s="604">
        <f>'CADASTRO V-T e ISS'!L138</f>
        <v>0</v>
      </c>
      <c r="R138" s="604">
        <f>'CADASTRO V-T e ISS'!M138</f>
        <v>0</v>
      </c>
      <c r="S138" s="604">
        <f>'CADASTRO V-T e ISS'!N138</f>
        <v>0</v>
      </c>
      <c r="T138" s="604">
        <f>'CADASTRO V-T e ISS'!O138</f>
        <v>0</v>
      </c>
      <c r="U138" s="608">
        <f t="shared" si="16"/>
        <v>16710.473461818183</v>
      </c>
      <c r="V138" s="608">
        <f t="shared" si="17"/>
        <v>334.20946923636365</v>
      </c>
      <c r="W138" s="608">
        <f t="shared" si="18"/>
        <v>17044.682931054547</v>
      </c>
      <c r="X138" s="608">
        <f t="shared" si="19"/>
        <v>409072.39034530916</v>
      </c>
    </row>
    <row r="139" spans="1:24">
      <c r="A139" s="604">
        <f>'CADASTRO V-T e ISS'!A139</f>
        <v>134</v>
      </c>
      <c r="B139" s="605" t="str">
        <f>'CADASTRO V-T e ISS'!B139</f>
        <v>Paraipaba</v>
      </c>
      <c r="C139" s="606">
        <f>IF('CADASTRO V-T e ISS'!C139="SIM",'CADASTRO V-T e ISS'!D139*'CADASTRO V-T e ISS'!E139*'CADASTRO V-T e ISS'!F139,0)</f>
        <v>0</v>
      </c>
      <c r="D139" s="607">
        <f>'CADASTRO V-T e ISS'!G139</f>
        <v>0</v>
      </c>
      <c r="E139" s="621">
        <f>(('VALOR POSTOS MÊS '!E40+('VALOR POSTOS MÊS '!E48+'VALOR POSTOS MÊS '!E62+(MAX(0,$C139-0.06*'VALOR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'!E62+(MAX(0,$C139-0.06*'VALOR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'!$D$149-$D139)</f>
        <v>8428.8640036363649</v>
      </c>
      <c r="F139" s="621">
        <f>(('VALOR POSTOS MÊS '!F40+('VALOR POSTOS MÊS '!F48+'VALOR POSTOS MÊS '!F62+(MAX(0,$C139-0.06*'VALOR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'!F62+(MAX(0,$C139-0.06*'VALOR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'!$D$149-$D139)</f>
        <v>8281.6094581818197</v>
      </c>
      <c r="G139" s="621">
        <f>(('VALOR POSTOS MÊS '!G40+('VALOR POSTOS MÊS '!G48+'VALOR POSTOS MÊS '!G62+(MAX(0,$C139-0.06*'VALOR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'!G62+(MAX(0,$C139-0.06*'VALOR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'!$D$149-$D139)</f>
        <v>10267.560367272728</v>
      </c>
      <c r="H139" s="621">
        <f>(('VALOR POSTOS MÊS '!H40+('VALOR POSTOS MÊS '!H48+'VALOR POSTOS MÊS '!H62+(MAX(0,$C139-0.06*'VALOR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'!H62+(MAX(0,$C139-0.06*'VALOR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'!$D$149-$D139)</f>
        <v>12184.771276363639</v>
      </c>
      <c r="I139" s="621">
        <f>(('VALOR POSTOS MÊS '!I40+('VALOR POSTOS MÊS '!I48+'VALOR POSTOS MÊS '!I62+(MAX(0,$C139-0.06*'VALOR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'!I62+(MAX(0,$C139-0.06*'VALOR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'!$D$149-$D139)</f>
        <v>15820.113094545455</v>
      </c>
      <c r="J139" s="621">
        <f>(('VALOR POSTOS MÊS '!J40+('VALOR POSTOS MÊS '!J48+'VALOR POSTOS MÊS '!J62+(MAX(0,$C139-0.06*'VALOR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'!J62+(MAX(0,$C139-0.06*'VALOR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'!$D$149-$D139)</f>
        <v>19964.125821818187</v>
      </c>
      <c r="K139" s="621">
        <f>(('VALOR POSTOS MÊS '!K40+('VALOR POSTOS MÊS '!K48+'VALOR POSTOS MÊS '!K62+(MAX(0,$C139-0.06*'VALOR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'!K62+(MAX(0,$C139-0.06*'VALOR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'!$D$149-$D139)</f>
        <v>10555.705821818183</v>
      </c>
      <c r="L139" s="621">
        <f>(('VALOR POSTOS MÊS '!L40+('VALOR POSTOS MÊS '!L48+'VALOR POSTOS MÊS '!L62+(MAX(0,$C139-0.06*'VALOR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'!L62+(MAX(0,$C139-0.06*'VALOR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'!$D$149-$D139)</f>
        <v>10285.696730909092</v>
      </c>
      <c r="M139" s="604">
        <f>'CADASTRO V-T e ISS'!H139</f>
        <v>1</v>
      </c>
      <c r="N139" s="604">
        <f>'CADASTRO V-T e ISS'!I139</f>
        <v>1</v>
      </c>
      <c r="O139" s="604">
        <f>'CADASTRO V-T e ISS'!J139</f>
        <v>0</v>
      </c>
      <c r="P139" s="604">
        <f>'CADASTRO V-T e ISS'!K139</f>
        <v>0</v>
      </c>
      <c r="Q139" s="604">
        <f>'CADASTRO V-T e ISS'!L139</f>
        <v>0</v>
      </c>
      <c r="R139" s="604">
        <f>'CADASTRO V-T e ISS'!M139</f>
        <v>0</v>
      </c>
      <c r="S139" s="604">
        <f>'CADASTRO V-T e ISS'!N139</f>
        <v>0</v>
      </c>
      <c r="T139" s="604">
        <f>'CADASTRO V-T e ISS'!O139</f>
        <v>0</v>
      </c>
      <c r="U139" s="608">
        <f t="shared" si="16"/>
        <v>16710.473461818183</v>
      </c>
      <c r="V139" s="608">
        <f t="shared" si="17"/>
        <v>334.20946923636365</v>
      </c>
      <c r="W139" s="608">
        <f t="shared" si="18"/>
        <v>17044.682931054547</v>
      </c>
      <c r="X139" s="608">
        <f t="shared" si="19"/>
        <v>409072.39034530916</v>
      </c>
    </row>
    <row r="140" spans="1:24">
      <c r="A140" s="604">
        <f>'CADASTRO V-T e ISS'!A140</f>
        <v>135</v>
      </c>
      <c r="B140" s="605" t="str">
        <f>'CADASTRO V-T e ISS'!B140</f>
        <v>Parambu</v>
      </c>
      <c r="C140" s="606">
        <f>IF('CADASTRO V-T e ISS'!C140="SIM",'CADASTRO V-T e ISS'!D140*'CADASTRO V-T e ISS'!E140*'CADASTRO V-T e ISS'!F140,0)</f>
        <v>0</v>
      </c>
      <c r="D140" s="607">
        <f>'CADASTRO V-T e ISS'!G140</f>
        <v>0</v>
      </c>
      <c r="E140" s="621">
        <f>(('VALOR POSTOS MÊS '!E40+('VALOR POSTOS MÊS '!E48+'VALOR POSTOS MÊS '!E62+(MAX(0,$C140-0.06*'VALOR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'!$D$149-$D140)</f>
        <v>8428.8640036363649</v>
      </c>
      <c r="F140" s="621">
        <f>(('VALOR POSTOS MÊS '!F40+('VALOR POSTOS MÊS '!F48+'VALOR POSTOS MÊS '!F62+(MAX(0,$C140-0.06*'VALOR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'!$D$149-$D140)</f>
        <v>8281.6094581818197</v>
      </c>
      <c r="G140" s="621">
        <f>(('VALOR POSTOS MÊS '!G40+('VALOR POSTOS MÊS '!G48+'VALOR POSTOS MÊS '!G62+(MAX(0,$C140-0.06*'VALOR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'!$D$149-$D140)</f>
        <v>10267.560367272728</v>
      </c>
      <c r="H140" s="621">
        <f>(('VALOR POSTOS MÊS '!H40+('VALOR POSTOS MÊS '!H48+'VALOR POSTOS MÊS '!H62+(MAX(0,$C140-0.06*'VALOR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'!$D$149-$D140)</f>
        <v>12184.771276363639</v>
      </c>
      <c r="I140" s="621">
        <f>(('VALOR POSTOS MÊS '!I40+('VALOR POSTOS MÊS '!I48+'VALOR POSTOS MÊS '!I62+(MAX(0,$C140-0.06*'VALOR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'!$D$149-$D140)</f>
        <v>15820.113094545455</v>
      </c>
      <c r="J140" s="621">
        <f>(('VALOR POSTOS MÊS '!J40+('VALOR POSTOS MÊS '!J48+'VALOR POSTOS MÊS '!J62+(MAX(0,$C140-0.06*'VALOR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'!$D$149-$D140)</f>
        <v>19964.125821818187</v>
      </c>
      <c r="K140" s="621">
        <f>(('VALOR POSTOS MÊS '!K40+('VALOR POSTOS MÊS '!K48+'VALOR POSTOS MÊS '!K62+(MAX(0,$C140-0.06*'VALOR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'!$D$149-$D140)</f>
        <v>10555.705821818183</v>
      </c>
      <c r="L140" s="621">
        <f>(('VALOR POSTOS MÊS '!L40+('VALOR POSTOS MÊS '!L48+'VALOR POSTOS MÊS '!L62+(MAX(0,$C140-0.06*'VALOR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'!$D$149-$D140)</f>
        <v>10285.696730909092</v>
      </c>
      <c r="M140" s="604">
        <f>'CADASTRO V-T e ISS'!H140</f>
        <v>0</v>
      </c>
      <c r="N140" s="604">
        <f>'CADASTRO V-T e ISS'!I140</f>
        <v>0</v>
      </c>
      <c r="O140" s="604">
        <f>'CADASTRO V-T e ISS'!J140</f>
        <v>0</v>
      </c>
      <c r="P140" s="604">
        <f>'CADASTRO V-T e ISS'!K140</f>
        <v>0</v>
      </c>
      <c r="Q140" s="604">
        <f>'CADASTRO V-T e ISS'!L140</f>
        <v>0</v>
      </c>
      <c r="R140" s="604">
        <f>'CADASTRO V-T e ISS'!M140</f>
        <v>0</v>
      </c>
      <c r="S140" s="604">
        <f>'CADASTRO V-T e ISS'!N140</f>
        <v>0</v>
      </c>
      <c r="T140" s="604">
        <f>'CADASTRO V-T e ISS'!O140</f>
        <v>0</v>
      </c>
      <c r="U140" s="608">
        <f t="shared" si="16"/>
        <v>0</v>
      </c>
      <c r="V140" s="608">
        <f t="shared" si="17"/>
        <v>0</v>
      </c>
      <c r="W140" s="608">
        <f t="shared" si="18"/>
        <v>0</v>
      </c>
      <c r="X140" s="608">
        <f t="shared" si="19"/>
        <v>0</v>
      </c>
    </row>
    <row r="141" spans="1:24">
      <c r="A141" s="604">
        <f>'CADASTRO V-T e ISS'!A141</f>
        <v>136</v>
      </c>
      <c r="B141" s="605" t="str">
        <f>'CADASTRO V-T e ISS'!B141</f>
        <v>Paramoti</v>
      </c>
      <c r="C141" s="606">
        <f>IF('CADASTRO V-T e ISS'!C141="SIM",'CADASTRO V-T e ISS'!D141*'CADASTRO V-T e ISS'!E141*'CADASTRO V-T e ISS'!F141,0)</f>
        <v>0</v>
      </c>
      <c r="D141" s="607">
        <f>'CADASTRO V-T e ISS'!G141</f>
        <v>0</v>
      </c>
      <c r="E141" s="621">
        <f>(('VALOR POSTOS MÊS '!E40+('VALOR POSTOS MÊS '!E48+'VALOR POSTOS MÊS '!E62+(MAX(0,$C141-0.06*'VALOR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'!$D$149-$D141)</f>
        <v>8428.8640036363649</v>
      </c>
      <c r="F141" s="621">
        <f>(('VALOR POSTOS MÊS '!F40+('VALOR POSTOS MÊS '!F48+'VALOR POSTOS MÊS '!F62+(MAX(0,$C141-0.06*'VALOR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'!$D$149-$D141)</f>
        <v>8281.6094581818197</v>
      </c>
      <c r="G141" s="621">
        <f>(('VALOR POSTOS MÊS '!G40+('VALOR POSTOS MÊS '!G48+'VALOR POSTOS MÊS '!G62+(MAX(0,$C141-0.06*'VALOR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'!$D$149-$D141)</f>
        <v>10267.560367272728</v>
      </c>
      <c r="H141" s="621">
        <f>(('VALOR POSTOS MÊS '!H40+('VALOR POSTOS MÊS '!H48+'VALOR POSTOS MÊS '!H62+(MAX(0,$C141-0.06*'VALOR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'!$D$149-$D141)</f>
        <v>12184.771276363639</v>
      </c>
      <c r="I141" s="621">
        <f>(('VALOR POSTOS MÊS '!I40+('VALOR POSTOS MÊS '!I48+'VALOR POSTOS MÊS '!I62+(MAX(0,$C141-0.06*'VALOR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'!$D$149-$D141)</f>
        <v>15820.113094545455</v>
      </c>
      <c r="J141" s="621">
        <f>(('VALOR POSTOS MÊS '!J40+('VALOR POSTOS MÊS '!J48+'VALOR POSTOS MÊS '!J62+(MAX(0,$C141-0.06*'VALOR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'!$D$149-$D141)</f>
        <v>19964.125821818187</v>
      </c>
      <c r="K141" s="621">
        <f>(('VALOR POSTOS MÊS '!K40+('VALOR POSTOS MÊS '!K48+'VALOR POSTOS MÊS '!K62+(MAX(0,$C141-0.06*'VALOR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'!$D$149-$D141)</f>
        <v>10555.705821818183</v>
      </c>
      <c r="L141" s="621">
        <f>(('VALOR POSTOS MÊS '!L40+('VALOR POSTOS MÊS '!L48+'VALOR POSTOS MÊS '!L62+(MAX(0,$C141-0.06*'VALOR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'!$D$149-$D141)</f>
        <v>10285.696730909092</v>
      </c>
      <c r="M141" s="604">
        <f>'CADASTRO V-T e ISS'!H141</f>
        <v>0</v>
      </c>
      <c r="N141" s="604">
        <f>'CADASTRO V-T e ISS'!I141</f>
        <v>0</v>
      </c>
      <c r="O141" s="604">
        <f>'CADASTRO V-T e ISS'!J141</f>
        <v>0</v>
      </c>
      <c r="P141" s="604">
        <f>'CADASTRO V-T e ISS'!K141</f>
        <v>0</v>
      </c>
      <c r="Q141" s="604">
        <f>'CADASTRO V-T e ISS'!L141</f>
        <v>0</v>
      </c>
      <c r="R141" s="604">
        <f>'CADASTRO V-T e ISS'!M141</f>
        <v>0</v>
      </c>
      <c r="S141" s="604">
        <f>'CADASTRO V-T e ISS'!N141</f>
        <v>0</v>
      </c>
      <c r="T141" s="604">
        <f>'CADASTRO V-T e ISS'!O141</f>
        <v>0</v>
      </c>
      <c r="U141" s="608">
        <f t="shared" si="16"/>
        <v>0</v>
      </c>
      <c r="V141" s="608">
        <f t="shared" si="17"/>
        <v>0</v>
      </c>
      <c r="W141" s="608">
        <f t="shared" si="18"/>
        <v>0</v>
      </c>
      <c r="X141" s="608">
        <f t="shared" si="19"/>
        <v>0</v>
      </c>
    </row>
    <row r="142" spans="1:24">
      <c r="A142" s="604">
        <f>'CADASTRO V-T e ISS'!A142</f>
        <v>137</v>
      </c>
      <c r="B142" s="605" t="str">
        <f>'CADASTRO V-T e ISS'!B142</f>
        <v>Pedra Branca</v>
      </c>
      <c r="C142" s="606">
        <f>IF('CADASTRO V-T e ISS'!C142="SIM",'CADASTRO V-T e ISS'!D142*'CADASTRO V-T e ISS'!E142*'CADASTRO V-T e ISS'!F142,0)</f>
        <v>0</v>
      </c>
      <c r="D142" s="607">
        <f>'CADASTRO V-T e ISS'!G142</f>
        <v>0</v>
      </c>
      <c r="E142" s="621">
        <f>(('VALOR POSTOS MÊS '!E40+('VALOR POSTOS MÊS '!E48+'VALOR POSTOS MÊS '!E62+(MAX(0,$C142-0.06*'VALOR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'!$D$149-$D142)</f>
        <v>8428.8640036363649</v>
      </c>
      <c r="F142" s="621">
        <f>(('VALOR POSTOS MÊS '!F40+('VALOR POSTOS MÊS '!F48+'VALOR POSTOS MÊS '!F62+(MAX(0,$C142-0.06*'VALOR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'!$D$149-$D142)</f>
        <v>8281.6094581818197</v>
      </c>
      <c r="G142" s="621">
        <f>(('VALOR POSTOS MÊS '!G40+('VALOR POSTOS MÊS '!G48+'VALOR POSTOS MÊS '!G62+(MAX(0,$C142-0.06*'VALOR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'!$D$149-$D142)</f>
        <v>10267.560367272728</v>
      </c>
      <c r="H142" s="621">
        <f>(('VALOR POSTOS MÊS '!H40+('VALOR POSTOS MÊS '!H48+'VALOR POSTOS MÊS '!H62+(MAX(0,$C142-0.06*'VALOR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'!$D$149-$D142)</f>
        <v>12184.771276363639</v>
      </c>
      <c r="I142" s="621">
        <f>(('VALOR POSTOS MÊS '!I40+('VALOR POSTOS MÊS '!I48+'VALOR POSTOS MÊS '!I62+(MAX(0,$C142-0.06*'VALOR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'!$D$149-$D142)</f>
        <v>15820.113094545455</v>
      </c>
      <c r="J142" s="621">
        <f>(('VALOR POSTOS MÊS '!J40+('VALOR POSTOS MÊS '!J48+'VALOR POSTOS MÊS '!J62+(MAX(0,$C142-0.06*'VALOR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'!$D$149-$D142)</f>
        <v>19964.125821818187</v>
      </c>
      <c r="K142" s="621">
        <f>(('VALOR POSTOS MÊS '!K40+('VALOR POSTOS MÊS '!K48+'VALOR POSTOS MÊS '!K62+(MAX(0,$C142-0.06*'VALOR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'!$D$149-$D142)</f>
        <v>10555.705821818183</v>
      </c>
      <c r="L142" s="621">
        <f>(('VALOR POSTOS MÊS '!L40+('VALOR POSTOS MÊS '!L48+'VALOR POSTOS MÊS '!L62+(MAX(0,$C142-0.06*'VALOR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'!$D$149-$D142)</f>
        <v>10285.696730909092</v>
      </c>
      <c r="M142" s="604">
        <f>'CADASTRO V-T e ISS'!H142</f>
        <v>1</v>
      </c>
      <c r="N142" s="604">
        <f>'CADASTRO V-T e ISS'!I142</f>
        <v>1</v>
      </c>
      <c r="O142" s="604">
        <f>'CADASTRO V-T e ISS'!J142</f>
        <v>0</v>
      </c>
      <c r="P142" s="604">
        <f>'CADASTRO V-T e ISS'!K142</f>
        <v>0</v>
      </c>
      <c r="Q142" s="604">
        <f>'CADASTRO V-T e ISS'!L142</f>
        <v>0</v>
      </c>
      <c r="R142" s="604">
        <f>'CADASTRO V-T e ISS'!M142</f>
        <v>0</v>
      </c>
      <c r="S142" s="604">
        <f>'CADASTRO V-T e ISS'!N142</f>
        <v>0</v>
      </c>
      <c r="T142" s="604">
        <f>'CADASTRO V-T e ISS'!O142</f>
        <v>0</v>
      </c>
      <c r="U142" s="608">
        <f t="shared" si="16"/>
        <v>16710.473461818183</v>
      </c>
      <c r="V142" s="608">
        <f t="shared" si="17"/>
        <v>334.20946923636365</v>
      </c>
      <c r="W142" s="608">
        <f t="shared" si="18"/>
        <v>17044.682931054547</v>
      </c>
      <c r="X142" s="608">
        <f t="shared" si="19"/>
        <v>409072.39034530916</v>
      </c>
    </row>
    <row r="143" spans="1:24">
      <c r="A143" s="604">
        <f>'CADASTRO V-T e ISS'!A143</f>
        <v>138</v>
      </c>
      <c r="B143" s="605" t="str">
        <f>'CADASTRO V-T e ISS'!B143</f>
        <v>Penaforte</v>
      </c>
      <c r="C143" s="606">
        <f>IF('CADASTRO V-T e ISS'!C143="SIM",'CADASTRO V-T e ISS'!D143*'CADASTRO V-T e ISS'!E143*'CADASTRO V-T e ISS'!F143,0)</f>
        <v>0</v>
      </c>
      <c r="D143" s="607">
        <f>'CADASTRO V-T e ISS'!G143</f>
        <v>0</v>
      </c>
      <c r="E143" s="621">
        <f>(('VALOR POSTOS MÊS '!E40+('VALOR POSTOS MÊS '!E48+'VALOR POSTOS MÊS '!E62+(MAX(0,$C143-0.06*'VALOR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'!$D$149-$D143)</f>
        <v>8428.8640036363649</v>
      </c>
      <c r="F143" s="621">
        <f>(('VALOR POSTOS MÊS '!F40+('VALOR POSTOS MÊS '!F48+'VALOR POSTOS MÊS '!F62+(MAX(0,$C143-0.06*'VALOR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'!$D$149-$D143)</f>
        <v>8281.6094581818197</v>
      </c>
      <c r="G143" s="621">
        <f>(('VALOR POSTOS MÊS '!G40+('VALOR POSTOS MÊS '!G48+'VALOR POSTOS MÊS '!G62+(MAX(0,$C143-0.06*'VALOR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'!$D$149-$D143)</f>
        <v>10267.560367272728</v>
      </c>
      <c r="H143" s="621">
        <f>(('VALOR POSTOS MÊS '!H40+('VALOR POSTOS MÊS '!H48+'VALOR POSTOS MÊS '!H62+(MAX(0,$C143-0.06*'VALOR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'!$D$149-$D143)</f>
        <v>12184.771276363639</v>
      </c>
      <c r="I143" s="621">
        <f>(('VALOR POSTOS MÊS '!I40+('VALOR POSTOS MÊS '!I48+'VALOR POSTOS MÊS '!I62+(MAX(0,$C143-0.06*'VALOR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'!$D$149-$D143)</f>
        <v>15820.113094545455</v>
      </c>
      <c r="J143" s="621">
        <f>(('VALOR POSTOS MÊS '!J40+('VALOR POSTOS MÊS '!J48+'VALOR POSTOS MÊS '!J62+(MAX(0,$C143-0.06*'VALOR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'!$D$149-$D143)</f>
        <v>19964.125821818187</v>
      </c>
      <c r="K143" s="621">
        <f>(('VALOR POSTOS MÊS '!K40+('VALOR POSTOS MÊS '!K48+'VALOR POSTOS MÊS '!K62+(MAX(0,$C143-0.06*'VALOR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'!$D$149-$D143)</f>
        <v>10555.705821818183</v>
      </c>
      <c r="L143" s="621">
        <f>(('VALOR POSTOS MÊS '!L40+('VALOR POSTOS MÊS '!L48+'VALOR POSTOS MÊS '!L62+(MAX(0,$C143-0.06*'VALOR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'!$D$149-$D143)</f>
        <v>10285.696730909092</v>
      </c>
      <c r="M143" s="604">
        <f>'CADASTRO V-T e ISS'!H143</f>
        <v>0</v>
      </c>
      <c r="N143" s="604">
        <f>'CADASTRO V-T e ISS'!I143</f>
        <v>0</v>
      </c>
      <c r="O143" s="604">
        <f>'CADASTRO V-T e ISS'!J143</f>
        <v>0</v>
      </c>
      <c r="P143" s="604">
        <f>'CADASTRO V-T e ISS'!K143</f>
        <v>0</v>
      </c>
      <c r="Q143" s="604">
        <f>'CADASTRO V-T e ISS'!L143</f>
        <v>0</v>
      </c>
      <c r="R143" s="604">
        <f>'CADASTRO V-T e ISS'!M143</f>
        <v>0</v>
      </c>
      <c r="S143" s="604">
        <f>'CADASTRO V-T e ISS'!N143</f>
        <v>0</v>
      </c>
      <c r="T143" s="604">
        <f>'CADASTRO V-T e ISS'!O143</f>
        <v>0</v>
      </c>
      <c r="U143" s="608">
        <f t="shared" si="16"/>
        <v>0</v>
      </c>
      <c r="V143" s="608">
        <f t="shared" si="17"/>
        <v>0</v>
      </c>
      <c r="W143" s="608">
        <f t="shared" si="18"/>
        <v>0</v>
      </c>
      <c r="X143" s="608">
        <f t="shared" si="19"/>
        <v>0</v>
      </c>
    </row>
    <row r="144" spans="1:24">
      <c r="A144" s="604">
        <f>'CADASTRO V-T e ISS'!A144</f>
        <v>139</v>
      </c>
      <c r="B144" s="605" t="str">
        <f>'CADASTRO V-T e ISS'!B144</f>
        <v>Pentecoste</v>
      </c>
      <c r="C144" s="606">
        <f>IF('CADASTRO V-T e ISS'!C144="SIM",'CADASTRO V-T e ISS'!D144*'CADASTRO V-T e ISS'!E144*'CADASTRO V-T e ISS'!F144,0)</f>
        <v>0</v>
      </c>
      <c r="D144" s="607">
        <f>'CADASTRO V-T e ISS'!G144</f>
        <v>0</v>
      </c>
      <c r="E144" s="621">
        <f>(('VALOR POSTOS MÊS '!E40+('VALOR POSTOS MÊS '!E48+'VALOR POSTOS MÊS '!E62+(MAX(0,$C144-0.06*'VALOR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'!$D$149-$D144)</f>
        <v>8428.8640036363649</v>
      </c>
      <c r="F144" s="621">
        <f>(('VALOR POSTOS MÊS '!F40+('VALOR POSTOS MÊS '!F48+'VALOR POSTOS MÊS '!F62+(MAX(0,$C144-0.06*'VALOR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'!$D$149-$D144)</f>
        <v>8281.6094581818197</v>
      </c>
      <c r="G144" s="621">
        <f>(('VALOR POSTOS MÊS '!G40+('VALOR POSTOS MÊS '!G48+'VALOR POSTOS MÊS '!G62+(MAX(0,$C144-0.06*'VALOR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'!$D$149-$D144)</f>
        <v>10267.560367272728</v>
      </c>
      <c r="H144" s="621">
        <f>(('VALOR POSTOS MÊS '!H40+('VALOR POSTOS MÊS '!H48+'VALOR POSTOS MÊS '!H62+(MAX(0,$C144-0.06*'VALOR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'!$D$149-$D144)</f>
        <v>12184.771276363639</v>
      </c>
      <c r="I144" s="621">
        <f>(('VALOR POSTOS MÊS '!I40+('VALOR POSTOS MÊS '!I48+'VALOR POSTOS MÊS '!I62+(MAX(0,$C144-0.06*'VALOR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'!$D$149-$D144)</f>
        <v>15820.113094545455</v>
      </c>
      <c r="J144" s="621">
        <f>(('VALOR POSTOS MÊS '!J40+('VALOR POSTOS MÊS '!J48+'VALOR POSTOS MÊS '!J62+(MAX(0,$C144-0.06*'VALOR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'!$D$149-$D144)</f>
        <v>19964.125821818187</v>
      </c>
      <c r="K144" s="621">
        <f>(('VALOR POSTOS MÊS '!K40+('VALOR POSTOS MÊS '!K48+'VALOR POSTOS MÊS '!K62+(MAX(0,$C144-0.06*'VALOR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'!$D$149-$D144)</f>
        <v>10555.705821818183</v>
      </c>
      <c r="L144" s="621">
        <f>(('VALOR POSTOS MÊS '!L40+('VALOR POSTOS MÊS '!L48+'VALOR POSTOS MÊS '!L62+(MAX(0,$C144-0.06*'VALOR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'!$D$149-$D144)</f>
        <v>10285.696730909092</v>
      </c>
      <c r="M144" s="604">
        <f>'CADASTRO V-T e ISS'!H144</f>
        <v>1</v>
      </c>
      <c r="N144" s="604">
        <f>'CADASTRO V-T e ISS'!I144</f>
        <v>1</v>
      </c>
      <c r="O144" s="604">
        <f>'CADASTRO V-T e ISS'!J144</f>
        <v>0</v>
      </c>
      <c r="P144" s="604">
        <f>'CADASTRO V-T e ISS'!K144</f>
        <v>0</v>
      </c>
      <c r="Q144" s="604">
        <f>'CADASTRO V-T e ISS'!L144</f>
        <v>0</v>
      </c>
      <c r="R144" s="604">
        <f>'CADASTRO V-T e ISS'!M144</f>
        <v>0</v>
      </c>
      <c r="S144" s="604">
        <f>'CADASTRO V-T e ISS'!N144</f>
        <v>0</v>
      </c>
      <c r="T144" s="604">
        <f>'CADASTRO V-T e ISS'!O144</f>
        <v>0</v>
      </c>
      <c r="U144" s="608">
        <f t="shared" si="16"/>
        <v>16710.473461818183</v>
      </c>
      <c r="V144" s="608">
        <f t="shared" si="17"/>
        <v>334.20946923636365</v>
      </c>
      <c r="W144" s="608">
        <f t="shared" si="18"/>
        <v>17044.682931054547</v>
      </c>
      <c r="X144" s="608">
        <f t="shared" si="19"/>
        <v>409072.39034530916</v>
      </c>
    </row>
    <row r="145" spans="1:24">
      <c r="A145" s="604">
        <f>'CADASTRO V-T e ISS'!A145</f>
        <v>140</v>
      </c>
      <c r="B145" s="605" t="str">
        <f>'CADASTRO V-T e ISS'!B145</f>
        <v>Pereiro</v>
      </c>
      <c r="C145" s="606">
        <f>IF('CADASTRO V-T e ISS'!C145="SIM",'CADASTRO V-T e ISS'!D145*'CADASTRO V-T e ISS'!E145*'CADASTRO V-T e ISS'!F145,0)</f>
        <v>0</v>
      </c>
      <c r="D145" s="607">
        <f>'CADASTRO V-T e ISS'!G145</f>
        <v>0</v>
      </c>
      <c r="E145" s="621">
        <f>(('VALOR POSTOS MÊS '!E40+('VALOR POSTOS MÊS '!E48+'VALOR POSTOS MÊS '!E62+(MAX(0,$C145-0.06*'VALOR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'!$D$149-$D145)</f>
        <v>8428.8640036363649</v>
      </c>
      <c r="F145" s="621">
        <f>(('VALOR POSTOS MÊS '!F40+('VALOR POSTOS MÊS '!F48+'VALOR POSTOS MÊS '!F62+(MAX(0,$C145-0.06*'VALOR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'!$D$149-$D145)</f>
        <v>8281.6094581818197</v>
      </c>
      <c r="G145" s="621">
        <f>(('VALOR POSTOS MÊS '!G40+('VALOR POSTOS MÊS '!G48+'VALOR POSTOS MÊS '!G62+(MAX(0,$C145-0.06*'VALOR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'!$D$149-$D145)</f>
        <v>10267.560367272728</v>
      </c>
      <c r="H145" s="621">
        <f>(('VALOR POSTOS MÊS '!H40+('VALOR POSTOS MÊS '!H48+'VALOR POSTOS MÊS '!H62+(MAX(0,$C145-0.06*'VALOR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'!$D$149-$D145)</f>
        <v>12184.771276363639</v>
      </c>
      <c r="I145" s="621">
        <f>(('VALOR POSTOS MÊS '!I40+('VALOR POSTOS MÊS '!I48+'VALOR POSTOS MÊS '!I62+(MAX(0,$C145-0.06*'VALOR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'!$D$149-$D145)</f>
        <v>15820.113094545455</v>
      </c>
      <c r="J145" s="621">
        <f>(('VALOR POSTOS MÊS '!J40+('VALOR POSTOS MÊS '!J48+'VALOR POSTOS MÊS '!J62+(MAX(0,$C145-0.06*'VALOR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'!$D$149-$D145)</f>
        <v>19964.125821818187</v>
      </c>
      <c r="K145" s="621">
        <f>(('VALOR POSTOS MÊS '!K40+('VALOR POSTOS MÊS '!K48+'VALOR POSTOS MÊS '!K62+(MAX(0,$C145-0.06*'VALOR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'!$D$149-$D145)</f>
        <v>10555.705821818183</v>
      </c>
      <c r="L145" s="621">
        <f>(('VALOR POSTOS MÊS '!L40+('VALOR POSTOS MÊS '!L48+'VALOR POSTOS MÊS '!L62+(MAX(0,$C145-0.06*'VALOR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'!$D$149-$D145)</f>
        <v>10285.696730909092</v>
      </c>
      <c r="M145" s="604">
        <f>'CADASTRO V-T e ISS'!H145</f>
        <v>1</v>
      </c>
      <c r="N145" s="604">
        <f>'CADASTRO V-T e ISS'!I145</f>
        <v>1</v>
      </c>
      <c r="O145" s="604">
        <f>'CADASTRO V-T e ISS'!J145</f>
        <v>0</v>
      </c>
      <c r="P145" s="604">
        <f>'CADASTRO V-T e ISS'!K145</f>
        <v>0</v>
      </c>
      <c r="Q145" s="604">
        <f>'CADASTRO V-T e ISS'!L145</f>
        <v>0</v>
      </c>
      <c r="R145" s="604">
        <f>'CADASTRO V-T e ISS'!M145</f>
        <v>0</v>
      </c>
      <c r="S145" s="604">
        <f>'CADASTRO V-T e ISS'!N145</f>
        <v>0</v>
      </c>
      <c r="T145" s="604">
        <f>'CADASTRO V-T e ISS'!O145</f>
        <v>0</v>
      </c>
      <c r="U145" s="608">
        <f t="shared" si="16"/>
        <v>16710.473461818183</v>
      </c>
      <c r="V145" s="608">
        <f t="shared" si="17"/>
        <v>334.20946923636365</v>
      </c>
      <c r="W145" s="608">
        <f t="shared" si="18"/>
        <v>17044.682931054547</v>
      </c>
      <c r="X145" s="608">
        <f t="shared" si="19"/>
        <v>409072.39034530916</v>
      </c>
    </row>
    <row r="146" spans="1:24">
      <c r="A146" s="604">
        <f>'CADASTRO V-T e ISS'!A146</f>
        <v>141</v>
      </c>
      <c r="B146" s="605" t="str">
        <f>'CADASTRO V-T e ISS'!B146</f>
        <v>Pindoretama</v>
      </c>
      <c r="C146" s="606">
        <f>IF('CADASTRO V-T e ISS'!C146="SIM",'CADASTRO V-T e ISS'!D146*'CADASTRO V-T e ISS'!E146*'CADASTRO V-T e ISS'!F146,0)</f>
        <v>0</v>
      </c>
      <c r="D146" s="607">
        <f>'CADASTRO V-T e ISS'!G146</f>
        <v>0</v>
      </c>
      <c r="E146" s="621">
        <f>(('VALOR POSTOS MÊS '!E40+('VALOR POSTOS MÊS '!E48+'VALOR POSTOS MÊS '!E62+(MAX(0,$C146-0.06*'VALOR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'!$D$149-$D146)</f>
        <v>8428.8640036363649</v>
      </c>
      <c r="F146" s="621">
        <f>(('VALOR POSTOS MÊS '!F40+('VALOR POSTOS MÊS '!F48+'VALOR POSTOS MÊS '!F62+(MAX(0,$C146-0.06*'VALOR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'!$D$149-$D146)</f>
        <v>8281.6094581818197</v>
      </c>
      <c r="G146" s="621">
        <f>(('VALOR POSTOS MÊS '!G40+('VALOR POSTOS MÊS '!G48+'VALOR POSTOS MÊS '!G62+(MAX(0,$C146-0.06*'VALOR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'!$D$149-$D146)</f>
        <v>10267.560367272728</v>
      </c>
      <c r="H146" s="621">
        <f>(('VALOR POSTOS MÊS '!H40+('VALOR POSTOS MÊS '!H48+'VALOR POSTOS MÊS '!H62+(MAX(0,$C146-0.06*'VALOR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'!$D$149-$D146)</f>
        <v>12184.771276363639</v>
      </c>
      <c r="I146" s="621">
        <f>(('VALOR POSTOS MÊS '!I40+('VALOR POSTOS MÊS '!I48+'VALOR POSTOS MÊS '!I62+(MAX(0,$C146-0.06*'VALOR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'!$D$149-$D146)</f>
        <v>15820.113094545455</v>
      </c>
      <c r="J146" s="621">
        <f>(('VALOR POSTOS MÊS '!J40+('VALOR POSTOS MÊS '!J48+'VALOR POSTOS MÊS '!J62+(MAX(0,$C146-0.06*'VALOR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'!$D$149-$D146)</f>
        <v>19964.125821818187</v>
      </c>
      <c r="K146" s="621">
        <f>(('VALOR POSTOS MÊS '!K40+('VALOR POSTOS MÊS '!K48+'VALOR POSTOS MÊS '!K62+(MAX(0,$C146-0.06*'VALOR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'!$D$149-$D146)</f>
        <v>10555.705821818183</v>
      </c>
      <c r="L146" s="621">
        <f>(('VALOR POSTOS MÊS '!L40+('VALOR POSTOS MÊS '!L48+'VALOR POSTOS MÊS '!L62+(MAX(0,$C146-0.06*'VALOR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'!$D$149-$D146)</f>
        <v>10285.696730909092</v>
      </c>
      <c r="M146" s="604">
        <f>'CADASTRO V-T e ISS'!H146</f>
        <v>0</v>
      </c>
      <c r="N146" s="604">
        <f>'CADASTRO V-T e ISS'!I146</f>
        <v>0</v>
      </c>
      <c r="O146" s="604">
        <f>'CADASTRO V-T e ISS'!J146</f>
        <v>0</v>
      </c>
      <c r="P146" s="604">
        <f>'CADASTRO V-T e ISS'!K146</f>
        <v>0</v>
      </c>
      <c r="Q146" s="604">
        <f>'CADASTRO V-T e ISS'!L146</f>
        <v>0</v>
      </c>
      <c r="R146" s="604">
        <f>'CADASTRO V-T e ISS'!M146</f>
        <v>0</v>
      </c>
      <c r="S146" s="604">
        <f>'CADASTRO V-T e ISS'!N146</f>
        <v>0</v>
      </c>
      <c r="T146" s="604">
        <f>'CADASTRO V-T e ISS'!O146</f>
        <v>0</v>
      </c>
      <c r="U146" s="608">
        <f t="shared" si="16"/>
        <v>0</v>
      </c>
      <c r="V146" s="608">
        <f t="shared" si="17"/>
        <v>0</v>
      </c>
      <c r="W146" s="608">
        <f t="shared" si="18"/>
        <v>0</v>
      </c>
      <c r="X146" s="608">
        <f t="shared" si="19"/>
        <v>0</v>
      </c>
    </row>
    <row r="147" spans="1:24">
      <c r="A147" s="604">
        <f>'CADASTRO V-T e ISS'!A147</f>
        <v>142</v>
      </c>
      <c r="B147" s="605" t="str">
        <f>'CADASTRO V-T e ISS'!B147</f>
        <v>Piquet Carneiro</v>
      </c>
      <c r="C147" s="606">
        <f>IF('CADASTRO V-T e ISS'!C147="SIM",'CADASTRO V-T e ISS'!D147*'CADASTRO V-T e ISS'!E147*'CADASTRO V-T e ISS'!F147,0)</f>
        <v>0</v>
      </c>
      <c r="D147" s="607">
        <f>'CADASTRO V-T e ISS'!G147</f>
        <v>0</v>
      </c>
      <c r="E147" s="621">
        <f>(('VALOR POSTOS MÊS '!E40+('VALOR POSTOS MÊS '!E48+'VALOR POSTOS MÊS '!E62+(MAX(0,$C147-0.06*'VALOR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'!$D$149-$D147)</f>
        <v>8428.8640036363649</v>
      </c>
      <c r="F147" s="621">
        <f>(('VALOR POSTOS MÊS '!F40+('VALOR POSTOS MÊS '!F48+'VALOR POSTOS MÊS '!F62+(MAX(0,$C147-0.06*'VALOR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'!$D$149-$D147)</f>
        <v>8281.6094581818197</v>
      </c>
      <c r="G147" s="621">
        <f>(('VALOR POSTOS MÊS '!G40+('VALOR POSTOS MÊS '!G48+'VALOR POSTOS MÊS '!G62+(MAX(0,$C147-0.06*'VALOR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'!$D$149-$D147)</f>
        <v>10267.560367272728</v>
      </c>
      <c r="H147" s="621">
        <f>(('VALOR POSTOS MÊS '!H40+('VALOR POSTOS MÊS '!H48+'VALOR POSTOS MÊS '!H62+(MAX(0,$C147-0.06*'VALOR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'!$D$149-$D147)</f>
        <v>12184.771276363639</v>
      </c>
      <c r="I147" s="621">
        <f>(('VALOR POSTOS MÊS '!I40+('VALOR POSTOS MÊS '!I48+'VALOR POSTOS MÊS '!I62+(MAX(0,$C147-0.06*'VALOR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'!$D$149-$D147)</f>
        <v>15820.113094545455</v>
      </c>
      <c r="J147" s="621">
        <f>(('VALOR POSTOS MÊS '!J40+('VALOR POSTOS MÊS '!J48+'VALOR POSTOS MÊS '!J62+(MAX(0,$C147-0.06*'VALOR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'!$D$149-$D147)</f>
        <v>19964.125821818187</v>
      </c>
      <c r="K147" s="621">
        <f>(('VALOR POSTOS MÊS '!K40+('VALOR POSTOS MÊS '!K48+'VALOR POSTOS MÊS '!K62+(MAX(0,$C147-0.06*'VALOR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'!$D$149-$D147)</f>
        <v>10555.705821818183</v>
      </c>
      <c r="L147" s="621">
        <f>(('VALOR POSTOS MÊS '!L40+('VALOR POSTOS MÊS '!L48+'VALOR POSTOS MÊS '!L62+(MAX(0,$C147-0.06*'VALOR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'!$D$149-$D147)</f>
        <v>10285.696730909092</v>
      </c>
      <c r="M147" s="604">
        <f>'CADASTRO V-T e ISS'!H147</f>
        <v>0</v>
      </c>
      <c r="N147" s="604">
        <f>'CADASTRO V-T e ISS'!I147</f>
        <v>0</v>
      </c>
      <c r="O147" s="604">
        <f>'CADASTRO V-T e ISS'!J147</f>
        <v>0</v>
      </c>
      <c r="P147" s="604">
        <f>'CADASTRO V-T e ISS'!K147</f>
        <v>0</v>
      </c>
      <c r="Q147" s="604">
        <f>'CADASTRO V-T e ISS'!L147</f>
        <v>0</v>
      </c>
      <c r="R147" s="604">
        <f>'CADASTRO V-T e ISS'!M147</f>
        <v>0</v>
      </c>
      <c r="S147" s="604">
        <f>'CADASTRO V-T e ISS'!N147</f>
        <v>0</v>
      </c>
      <c r="T147" s="604">
        <f>'CADASTRO V-T e ISS'!O147</f>
        <v>0</v>
      </c>
      <c r="U147" s="608">
        <f t="shared" si="16"/>
        <v>0</v>
      </c>
      <c r="V147" s="608">
        <f t="shared" si="17"/>
        <v>0</v>
      </c>
      <c r="W147" s="608">
        <f t="shared" si="18"/>
        <v>0</v>
      </c>
      <c r="X147" s="608">
        <f t="shared" si="19"/>
        <v>0</v>
      </c>
    </row>
    <row r="148" spans="1:24">
      <c r="A148" s="604">
        <f>'CADASTRO V-T e ISS'!A148</f>
        <v>143</v>
      </c>
      <c r="B148" s="605" t="str">
        <f>'CADASTRO V-T e ISS'!B148</f>
        <v>Pires Ferreira</v>
      </c>
      <c r="C148" s="606">
        <f>IF('CADASTRO V-T e ISS'!C148="SIM",'CADASTRO V-T e ISS'!D148*'CADASTRO V-T e ISS'!E148*'CADASTRO V-T e ISS'!F148,0)</f>
        <v>0</v>
      </c>
      <c r="D148" s="607">
        <f>'CADASTRO V-T e ISS'!G148</f>
        <v>0</v>
      </c>
      <c r="E148" s="621">
        <f>(('VALOR POSTOS MÊS '!E40+('VALOR POSTOS MÊS '!E48+'VALOR POSTOS MÊS '!E62+(MAX(0,$C148-0.06*'VALOR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'!$D$149-$D148)</f>
        <v>8428.8640036363649</v>
      </c>
      <c r="F148" s="621">
        <f>(('VALOR POSTOS MÊS '!F40+('VALOR POSTOS MÊS '!F48+'VALOR POSTOS MÊS '!F62+(MAX(0,$C148-0.06*'VALOR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'!$D$149-$D148)</f>
        <v>8281.6094581818197</v>
      </c>
      <c r="G148" s="621">
        <f>(('VALOR POSTOS MÊS '!G40+('VALOR POSTOS MÊS '!G48+'VALOR POSTOS MÊS '!G62+(MAX(0,$C148-0.06*'VALOR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'!$D$149-$D148)</f>
        <v>10267.560367272728</v>
      </c>
      <c r="H148" s="621">
        <f>(('VALOR POSTOS MÊS '!H40+('VALOR POSTOS MÊS '!H48+'VALOR POSTOS MÊS '!H62+(MAX(0,$C148-0.06*'VALOR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'!$D$149-$D148)</f>
        <v>12184.771276363639</v>
      </c>
      <c r="I148" s="621">
        <f>(('VALOR POSTOS MÊS '!I40+('VALOR POSTOS MÊS '!I48+'VALOR POSTOS MÊS '!I62+(MAX(0,$C148-0.06*'VALOR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'!$D$149-$D148)</f>
        <v>15820.113094545455</v>
      </c>
      <c r="J148" s="621">
        <f>(('VALOR POSTOS MÊS '!J40+('VALOR POSTOS MÊS '!J48+'VALOR POSTOS MÊS '!J62+(MAX(0,$C148-0.06*'VALOR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'!$D$149-$D148)</f>
        <v>19964.125821818187</v>
      </c>
      <c r="K148" s="621">
        <f>(('VALOR POSTOS MÊS '!K40+('VALOR POSTOS MÊS '!K48+'VALOR POSTOS MÊS '!K62+(MAX(0,$C148-0.06*'VALOR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'!$D$149-$D148)</f>
        <v>10555.705821818183</v>
      </c>
      <c r="L148" s="621">
        <f>(('VALOR POSTOS MÊS '!L40+('VALOR POSTOS MÊS '!L48+'VALOR POSTOS MÊS '!L62+(MAX(0,$C148-0.06*'VALOR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'!$D$149-$D148)</f>
        <v>10285.696730909092</v>
      </c>
      <c r="M148" s="604">
        <f>'CADASTRO V-T e ISS'!H148</f>
        <v>0</v>
      </c>
      <c r="N148" s="604">
        <f>'CADASTRO V-T e ISS'!I148</f>
        <v>0</v>
      </c>
      <c r="O148" s="604">
        <f>'CADASTRO V-T e ISS'!J148</f>
        <v>0</v>
      </c>
      <c r="P148" s="604">
        <f>'CADASTRO V-T e ISS'!K148</f>
        <v>0</v>
      </c>
      <c r="Q148" s="604">
        <f>'CADASTRO V-T e ISS'!L148</f>
        <v>0</v>
      </c>
      <c r="R148" s="604">
        <f>'CADASTRO V-T e ISS'!M148</f>
        <v>0</v>
      </c>
      <c r="S148" s="604">
        <f>'CADASTRO V-T e ISS'!N148</f>
        <v>0</v>
      </c>
      <c r="T148" s="604">
        <f>'CADASTRO V-T e ISS'!O148</f>
        <v>0</v>
      </c>
      <c r="U148" s="608">
        <f t="shared" si="16"/>
        <v>0</v>
      </c>
      <c r="V148" s="608">
        <f t="shared" si="17"/>
        <v>0</v>
      </c>
      <c r="W148" s="608">
        <f t="shared" si="18"/>
        <v>0</v>
      </c>
      <c r="X148" s="608">
        <f t="shared" si="19"/>
        <v>0</v>
      </c>
    </row>
    <row r="149" spans="1:24">
      <c r="A149" s="604">
        <f>'CADASTRO V-T e ISS'!A149</f>
        <v>144</v>
      </c>
      <c r="B149" s="605" t="str">
        <f>'CADASTRO V-T e ISS'!B149</f>
        <v>Poranga</v>
      </c>
      <c r="C149" s="606">
        <f>IF('CADASTRO V-T e ISS'!C149="SIM",'CADASTRO V-T e ISS'!D149*'CADASTRO V-T e ISS'!E149*'CADASTRO V-T e ISS'!F149,0)</f>
        <v>0</v>
      </c>
      <c r="D149" s="607">
        <f>'CADASTRO V-T e ISS'!G149</f>
        <v>0</v>
      </c>
      <c r="E149" s="621">
        <f>(('VALOR POSTOS MÊS '!E40+('VALOR POSTOS MÊS '!E48+'VALOR POSTOS MÊS '!E62+(MAX(0,$C149-0.06*'VALOR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'!E62+(MAX(0,$C149-0.06*'VALOR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'!$D$149-$D149)</f>
        <v>8428.8640036363649</v>
      </c>
      <c r="F149" s="621">
        <f>(('VALOR POSTOS MÊS '!F40+('VALOR POSTOS MÊS '!F48+'VALOR POSTOS MÊS '!F62+(MAX(0,$C149-0.06*'VALOR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'!F62+(MAX(0,$C149-0.06*'VALOR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'!$D$149-$D149)</f>
        <v>8281.6094581818197</v>
      </c>
      <c r="G149" s="621">
        <f>(('VALOR POSTOS MÊS '!G40+('VALOR POSTOS MÊS '!G48+'VALOR POSTOS MÊS '!G62+(MAX(0,$C149-0.06*'VALOR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'!G62+(MAX(0,$C149-0.06*'VALOR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'!$D$149-$D149)</f>
        <v>10267.560367272728</v>
      </c>
      <c r="H149" s="621">
        <f>(('VALOR POSTOS MÊS '!H40+('VALOR POSTOS MÊS '!H48+'VALOR POSTOS MÊS '!H62+(MAX(0,$C149-0.06*'VALOR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'!H62+(MAX(0,$C149-0.06*'VALOR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'!$D$149-$D149)</f>
        <v>12184.771276363639</v>
      </c>
      <c r="I149" s="621">
        <f>(('VALOR POSTOS MÊS '!I40+('VALOR POSTOS MÊS '!I48+'VALOR POSTOS MÊS '!I62+(MAX(0,$C149-0.06*'VALOR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'!I62+(MAX(0,$C149-0.06*'VALOR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'!$D$149-$D149)</f>
        <v>15820.113094545455</v>
      </c>
      <c r="J149" s="621">
        <f>(('VALOR POSTOS MÊS '!J40+('VALOR POSTOS MÊS '!J48+'VALOR POSTOS MÊS '!J62+(MAX(0,$C149-0.06*'VALOR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'!J62+(MAX(0,$C149-0.06*'VALOR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'!$D$149-$D149)</f>
        <v>19964.125821818187</v>
      </c>
      <c r="K149" s="621">
        <f>(('VALOR POSTOS MÊS '!K40+('VALOR POSTOS MÊS '!K48+'VALOR POSTOS MÊS '!K62+(MAX(0,$C149-0.06*'VALOR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'!K62+(MAX(0,$C149-0.06*'VALOR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'!$D$149-$D149)</f>
        <v>10555.705821818183</v>
      </c>
      <c r="L149" s="621">
        <f>(('VALOR POSTOS MÊS '!L40+('VALOR POSTOS MÊS '!L48+'VALOR POSTOS MÊS '!L62+(MAX(0,$C149-0.06*'VALOR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'!L62+(MAX(0,$C149-0.06*'VALOR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'!$D$149-$D149)</f>
        <v>10285.696730909092</v>
      </c>
      <c r="M149" s="604">
        <f>'CADASTRO V-T e ISS'!H149</f>
        <v>0</v>
      </c>
      <c r="N149" s="604">
        <f>'CADASTRO V-T e ISS'!I149</f>
        <v>0</v>
      </c>
      <c r="O149" s="604">
        <f>'CADASTRO V-T e ISS'!J149</f>
        <v>0</v>
      </c>
      <c r="P149" s="604">
        <f>'CADASTRO V-T e ISS'!K149</f>
        <v>0</v>
      </c>
      <c r="Q149" s="604">
        <f>'CADASTRO V-T e ISS'!L149</f>
        <v>0</v>
      </c>
      <c r="R149" s="604">
        <f>'CADASTRO V-T e ISS'!M149</f>
        <v>0</v>
      </c>
      <c r="S149" s="604">
        <f>'CADASTRO V-T e ISS'!N149</f>
        <v>0</v>
      </c>
      <c r="T149" s="604">
        <f>'CADASTRO V-T e ISS'!O149</f>
        <v>0</v>
      </c>
      <c r="U149" s="608">
        <f t="shared" si="16"/>
        <v>0</v>
      </c>
      <c r="V149" s="608">
        <f t="shared" si="17"/>
        <v>0</v>
      </c>
      <c r="W149" s="608">
        <f t="shared" si="18"/>
        <v>0</v>
      </c>
      <c r="X149" s="608">
        <f t="shared" si="19"/>
        <v>0</v>
      </c>
    </row>
    <row r="150" spans="1:24">
      <c r="A150" s="604">
        <f>'CADASTRO V-T e ISS'!A150</f>
        <v>145</v>
      </c>
      <c r="B150" s="605" t="str">
        <f>'CADASTRO V-T e ISS'!B150</f>
        <v>Porteiras</v>
      </c>
      <c r="C150" s="606">
        <f>IF('CADASTRO V-T e ISS'!C150="SIM",'CADASTRO V-T e ISS'!D150*'CADASTRO V-T e ISS'!E150*'CADASTRO V-T e ISS'!F150,0)</f>
        <v>0</v>
      </c>
      <c r="D150" s="607">
        <f>'CADASTRO V-T e ISS'!G150</f>
        <v>0</v>
      </c>
      <c r="E150" s="621">
        <f>(('VALOR POSTOS MÊS '!E40+('VALOR POSTOS MÊS '!E48+'VALOR POSTOS MÊS '!E62+(MAX(0,$C150-0.06*'VALOR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'!$D$149-$D150)</f>
        <v>8428.8640036363649</v>
      </c>
      <c r="F150" s="621">
        <f>(('VALOR POSTOS MÊS '!F40+('VALOR POSTOS MÊS '!F48+'VALOR POSTOS MÊS '!F62+(MAX(0,$C150-0.06*'VALOR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'!$D$149-$D150)</f>
        <v>8281.6094581818197</v>
      </c>
      <c r="G150" s="621">
        <f>(('VALOR POSTOS MÊS '!G40+('VALOR POSTOS MÊS '!G48+'VALOR POSTOS MÊS '!G62+(MAX(0,$C150-0.06*'VALOR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'!$D$149-$D150)</f>
        <v>10267.560367272728</v>
      </c>
      <c r="H150" s="621">
        <f>(('VALOR POSTOS MÊS '!H40+('VALOR POSTOS MÊS '!H48+'VALOR POSTOS MÊS '!H62+(MAX(0,$C150-0.06*'VALOR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'!$D$149-$D150)</f>
        <v>12184.771276363639</v>
      </c>
      <c r="I150" s="621">
        <f>(('VALOR POSTOS MÊS '!I40+('VALOR POSTOS MÊS '!I48+'VALOR POSTOS MÊS '!I62+(MAX(0,$C150-0.06*'VALOR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'!$D$149-$D150)</f>
        <v>15820.113094545455</v>
      </c>
      <c r="J150" s="621">
        <f>(('VALOR POSTOS MÊS '!J40+('VALOR POSTOS MÊS '!J48+'VALOR POSTOS MÊS '!J62+(MAX(0,$C150-0.06*'VALOR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'!$D$149-$D150)</f>
        <v>19964.125821818187</v>
      </c>
      <c r="K150" s="621">
        <f>(('VALOR POSTOS MÊS '!K40+('VALOR POSTOS MÊS '!K48+'VALOR POSTOS MÊS '!K62+(MAX(0,$C150-0.06*'VALOR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'!$D$149-$D150)</f>
        <v>10555.705821818183</v>
      </c>
      <c r="L150" s="621">
        <f>(('VALOR POSTOS MÊS '!L40+('VALOR POSTOS MÊS '!L48+'VALOR POSTOS MÊS '!L62+(MAX(0,$C150-0.06*'VALOR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'!$D$149-$D150)</f>
        <v>10285.696730909092</v>
      </c>
      <c r="M150" s="604">
        <f>'CADASTRO V-T e ISS'!H150</f>
        <v>0</v>
      </c>
      <c r="N150" s="604">
        <f>'CADASTRO V-T e ISS'!I150</f>
        <v>0</v>
      </c>
      <c r="O150" s="604">
        <f>'CADASTRO V-T e ISS'!J150</f>
        <v>0</v>
      </c>
      <c r="P150" s="604">
        <f>'CADASTRO V-T e ISS'!K150</f>
        <v>0</v>
      </c>
      <c r="Q150" s="604">
        <f>'CADASTRO V-T e ISS'!L150</f>
        <v>0</v>
      </c>
      <c r="R150" s="604">
        <f>'CADASTRO V-T e ISS'!M150</f>
        <v>0</v>
      </c>
      <c r="S150" s="604">
        <f>'CADASTRO V-T e ISS'!N150</f>
        <v>0</v>
      </c>
      <c r="T150" s="604">
        <f>'CADASTRO V-T e ISS'!O150</f>
        <v>0</v>
      </c>
      <c r="U150" s="608">
        <f t="shared" si="16"/>
        <v>0</v>
      </c>
      <c r="V150" s="608">
        <f t="shared" si="17"/>
        <v>0</v>
      </c>
      <c r="W150" s="608">
        <f t="shared" si="18"/>
        <v>0</v>
      </c>
      <c r="X150" s="608">
        <f t="shared" si="19"/>
        <v>0</v>
      </c>
    </row>
    <row r="151" spans="1:24">
      <c r="A151" s="604">
        <f>'CADASTRO V-T e ISS'!A151</f>
        <v>146</v>
      </c>
      <c r="B151" s="605" t="str">
        <f>'CADASTRO V-T e ISS'!B151</f>
        <v>Potengi</v>
      </c>
      <c r="C151" s="606">
        <f>IF('CADASTRO V-T e ISS'!C151="SIM",'CADASTRO V-T e ISS'!D151*'CADASTRO V-T e ISS'!E151*'CADASTRO V-T e ISS'!F151,0)</f>
        <v>0</v>
      </c>
      <c r="D151" s="607">
        <f>'CADASTRO V-T e ISS'!G151</f>
        <v>0</v>
      </c>
      <c r="E151" s="621">
        <f>(('VALOR POSTOS MÊS '!E40+('VALOR POSTOS MÊS '!E48+'VALOR POSTOS MÊS '!E62+(MAX(0,$C151-0.06*'VALOR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'!$D$149-$D151)</f>
        <v>8428.8640036363649</v>
      </c>
      <c r="F151" s="621">
        <f>(('VALOR POSTOS MÊS '!F40+('VALOR POSTOS MÊS '!F48+'VALOR POSTOS MÊS '!F62+(MAX(0,$C151-0.06*'VALOR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'!$D$149-$D151)</f>
        <v>8281.6094581818197</v>
      </c>
      <c r="G151" s="621">
        <f>(('VALOR POSTOS MÊS '!G40+('VALOR POSTOS MÊS '!G48+'VALOR POSTOS MÊS '!G62+(MAX(0,$C151-0.06*'VALOR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'!$D$149-$D151)</f>
        <v>10267.560367272728</v>
      </c>
      <c r="H151" s="621">
        <f>(('VALOR POSTOS MÊS '!H40+('VALOR POSTOS MÊS '!H48+'VALOR POSTOS MÊS '!H62+(MAX(0,$C151-0.06*'VALOR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'!$D$149-$D151)</f>
        <v>12184.771276363639</v>
      </c>
      <c r="I151" s="621">
        <f>(('VALOR POSTOS MÊS '!I40+('VALOR POSTOS MÊS '!I48+'VALOR POSTOS MÊS '!I62+(MAX(0,$C151-0.06*'VALOR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'!$D$149-$D151)</f>
        <v>15820.113094545455</v>
      </c>
      <c r="J151" s="621">
        <f>(('VALOR POSTOS MÊS '!J40+('VALOR POSTOS MÊS '!J48+'VALOR POSTOS MÊS '!J62+(MAX(0,$C151-0.06*'VALOR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'!$D$149-$D151)</f>
        <v>19964.125821818187</v>
      </c>
      <c r="K151" s="621">
        <f>(('VALOR POSTOS MÊS '!K40+('VALOR POSTOS MÊS '!K48+'VALOR POSTOS MÊS '!K62+(MAX(0,$C151-0.06*'VALOR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'!$D$149-$D151)</f>
        <v>10555.705821818183</v>
      </c>
      <c r="L151" s="621">
        <f>(('VALOR POSTOS MÊS '!L40+('VALOR POSTOS MÊS '!L48+'VALOR POSTOS MÊS '!L62+(MAX(0,$C151-0.06*'VALOR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'!$D$149-$D151)</f>
        <v>10285.696730909092</v>
      </c>
      <c r="M151" s="604">
        <f>'CADASTRO V-T e ISS'!H151</f>
        <v>0</v>
      </c>
      <c r="N151" s="604">
        <f>'CADASTRO V-T e ISS'!I151</f>
        <v>0</v>
      </c>
      <c r="O151" s="604">
        <f>'CADASTRO V-T e ISS'!J151</f>
        <v>0</v>
      </c>
      <c r="P151" s="604">
        <f>'CADASTRO V-T e ISS'!K151</f>
        <v>0</v>
      </c>
      <c r="Q151" s="604">
        <f>'CADASTRO V-T e ISS'!L151</f>
        <v>0</v>
      </c>
      <c r="R151" s="604">
        <f>'CADASTRO V-T e ISS'!M151</f>
        <v>0</v>
      </c>
      <c r="S151" s="604">
        <f>'CADASTRO V-T e ISS'!N151</f>
        <v>0</v>
      </c>
      <c r="T151" s="604">
        <f>'CADASTRO V-T e ISS'!O151</f>
        <v>0</v>
      </c>
      <c r="U151" s="608">
        <f t="shared" si="16"/>
        <v>0</v>
      </c>
      <c r="V151" s="608">
        <f t="shared" si="17"/>
        <v>0</v>
      </c>
      <c r="W151" s="608">
        <f t="shared" si="18"/>
        <v>0</v>
      </c>
      <c r="X151" s="608">
        <f t="shared" si="19"/>
        <v>0</v>
      </c>
    </row>
    <row r="152" spans="1:24">
      <c r="A152" s="604">
        <f>'CADASTRO V-T e ISS'!A152</f>
        <v>147</v>
      </c>
      <c r="B152" s="605" t="str">
        <f>'CADASTRO V-T e ISS'!B152</f>
        <v>Potiretama</v>
      </c>
      <c r="C152" s="606">
        <f>IF('CADASTRO V-T e ISS'!C152="SIM",'CADASTRO V-T e ISS'!D152*'CADASTRO V-T e ISS'!E152*'CADASTRO V-T e ISS'!F152,0)</f>
        <v>0</v>
      </c>
      <c r="D152" s="607">
        <f>'CADASTRO V-T e ISS'!G152</f>
        <v>0</v>
      </c>
      <c r="E152" s="621">
        <f>(('VALOR POSTOS MÊS '!E40+('VALOR POSTOS MÊS '!E48+'VALOR POSTOS MÊS '!E62+(MAX(0,$C152-0.06*'VALOR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'!$D$149-$D152)</f>
        <v>8428.8640036363649</v>
      </c>
      <c r="F152" s="621">
        <f>(('VALOR POSTOS MÊS '!F40+('VALOR POSTOS MÊS '!F48+'VALOR POSTOS MÊS '!F62+(MAX(0,$C152-0.06*'VALOR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'!$D$149-$D152)</f>
        <v>8281.6094581818197</v>
      </c>
      <c r="G152" s="621">
        <f>(('VALOR POSTOS MÊS '!G40+('VALOR POSTOS MÊS '!G48+'VALOR POSTOS MÊS '!G62+(MAX(0,$C152-0.06*'VALOR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'!$D$149-$D152)</f>
        <v>10267.560367272728</v>
      </c>
      <c r="H152" s="621">
        <f>(('VALOR POSTOS MÊS '!H40+('VALOR POSTOS MÊS '!H48+'VALOR POSTOS MÊS '!H62+(MAX(0,$C152-0.06*'VALOR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'!$D$149-$D152)</f>
        <v>12184.771276363639</v>
      </c>
      <c r="I152" s="621">
        <f>(('VALOR POSTOS MÊS '!I40+('VALOR POSTOS MÊS '!I48+'VALOR POSTOS MÊS '!I62+(MAX(0,$C152-0.06*'VALOR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'!$D$149-$D152)</f>
        <v>15820.113094545455</v>
      </c>
      <c r="J152" s="621">
        <f>(('VALOR POSTOS MÊS '!J40+('VALOR POSTOS MÊS '!J48+'VALOR POSTOS MÊS '!J62+(MAX(0,$C152-0.06*'VALOR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'!$D$149-$D152)</f>
        <v>19964.125821818187</v>
      </c>
      <c r="K152" s="621">
        <f>(('VALOR POSTOS MÊS '!K40+('VALOR POSTOS MÊS '!K48+'VALOR POSTOS MÊS '!K62+(MAX(0,$C152-0.06*'VALOR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'!$D$149-$D152)</f>
        <v>10555.705821818183</v>
      </c>
      <c r="L152" s="621">
        <f>(('VALOR POSTOS MÊS '!L40+('VALOR POSTOS MÊS '!L48+'VALOR POSTOS MÊS '!L62+(MAX(0,$C152-0.06*'VALOR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'!$D$149-$D152)</f>
        <v>10285.696730909092</v>
      </c>
      <c r="M152" s="604">
        <f>'CADASTRO V-T e ISS'!H152</f>
        <v>0</v>
      </c>
      <c r="N152" s="604">
        <f>'CADASTRO V-T e ISS'!I152</f>
        <v>0</v>
      </c>
      <c r="O152" s="604">
        <f>'CADASTRO V-T e ISS'!J152</f>
        <v>0</v>
      </c>
      <c r="P152" s="604">
        <f>'CADASTRO V-T e ISS'!K152</f>
        <v>0</v>
      </c>
      <c r="Q152" s="604">
        <f>'CADASTRO V-T e ISS'!L152</f>
        <v>0</v>
      </c>
      <c r="R152" s="604">
        <f>'CADASTRO V-T e ISS'!M152</f>
        <v>0</v>
      </c>
      <c r="S152" s="604">
        <f>'CADASTRO V-T e ISS'!N152</f>
        <v>0</v>
      </c>
      <c r="T152" s="604">
        <f>'CADASTRO V-T e ISS'!O152</f>
        <v>0</v>
      </c>
      <c r="U152" s="608">
        <f t="shared" si="16"/>
        <v>0</v>
      </c>
      <c r="V152" s="608">
        <f t="shared" si="17"/>
        <v>0</v>
      </c>
      <c r="W152" s="608">
        <f t="shared" si="18"/>
        <v>0</v>
      </c>
      <c r="X152" s="608">
        <f t="shared" si="19"/>
        <v>0</v>
      </c>
    </row>
    <row r="153" spans="1:24">
      <c r="A153" s="604">
        <f>'CADASTRO V-T e ISS'!A153</f>
        <v>148</v>
      </c>
      <c r="B153" s="605" t="str">
        <f>'CADASTRO V-T e ISS'!B153</f>
        <v>Quiterianópolis</v>
      </c>
      <c r="C153" s="606">
        <f>IF('CADASTRO V-T e ISS'!C153="SIM",'CADASTRO V-T e ISS'!D153*'CADASTRO V-T e ISS'!E153*'CADASTRO V-T e ISS'!F153,0)</f>
        <v>0</v>
      </c>
      <c r="D153" s="607">
        <f>'CADASTRO V-T e ISS'!G153</f>
        <v>0</v>
      </c>
      <c r="E153" s="621">
        <f>(('VALOR POSTOS MÊS '!E40+('VALOR POSTOS MÊS '!E48+'VALOR POSTOS MÊS '!E62+(MAX(0,$C153-0.06*'VALOR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'!$D$149-$D153)</f>
        <v>8428.8640036363649</v>
      </c>
      <c r="F153" s="621">
        <f>(('VALOR POSTOS MÊS '!F40+('VALOR POSTOS MÊS '!F48+'VALOR POSTOS MÊS '!F62+(MAX(0,$C153-0.06*'VALOR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'!$D$149-$D153)</f>
        <v>8281.6094581818197</v>
      </c>
      <c r="G153" s="621">
        <f>(('VALOR POSTOS MÊS '!G40+('VALOR POSTOS MÊS '!G48+'VALOR POSTOS MÊS '!G62+(MAX(0,$C153-0.06*'VALOR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'!$D$149-$D153)</f>
        <v>10267.560367272728</v>
      </c>
      <c r="H153" s="621">
        <f>(('VALOR POSTOS MÊS '!H40+('VALOR POSTOS MÊS '!H48+'VALOR POSTOS MÊS '!H62+(MAX(0,$C153-0.06*'VALOR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'!$D$149-$D153)</f>
        <v>12184.771276363639</v>
      </c>
      <c r="I153" s="621">
        <f>(('VALOR POSTOS MÊS '!I40+('VALOR POSTOS MÊS '!I48+'VALOR POSTOS MÊS '!I62+(MAX(0,$C153-0.06*'VALOR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'!$D$149-$D153)</f>
        <v>15820.113094545455</v>
      </c>
      <c r="J153" s="621">
        <f>(('VALOR POSTOS MÊS '!J40+('VALOR POSTOS MÊS '!J48+'VALOR POSTOS MÊS '!J62+(MAX(0,$C153-0.06*'VALOR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'!$D$149-$D153)</f>
        <v>19964.125821818187</v>
      </c>
      <c r="K153" s="621">
        <f>(('VALOR POSTOS MÊS '!K40+('VALOR POSTOS MÊS '!K48+'VALOR POSTOS MÊS '!K62+(MAX(0,$C153-0.06*'VALOR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'!$D$149-$D153)</f>
        <v>10555.705821818183</v>
      </c>
      <c r="L153" s="621">
        <f>(('VALOR POSTOS MÊS '!L40+('VALOR POSTOS MÊS '!L48+'VALOR POSTOS MÊS '!L62+(MAX(0,$C153-0.06*'VALOR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'!$D$149-$D153)</f>
        <v>10285.696730909092</v>
      </c>
      <c r="M153" s="604">
        <f>'CADASTRO V-T e ISS'!H153</f>
        <v>0</v>
      </c>
      <c r="N153" s="604">
        <f>'CADASTRO V-T e ISS'!I153</f>
        <v>0</v>
      </c>
      <c r="O153" s="604">
        <f>'CADASTRO V-T e ISS'!J153</f>
        <v>0</v>
      </c>
      <c r="P153" s="604">
        <f>'CADASTRO V-T e ISS'!K153</f>
        <v>0</v>
      </c>
      <c r="Q153" s="604">
        <f>'CADASTRO V-T e ISS'!L153</f>
        <v>0</v>
      </c>
      <c r="R153" s="604">
        <f>'CADASTRO V-T e ISS'!M153</f>
        <v>0</v>
      </c>
      <c r="S153" s="604">
        <f>'CADASTRO V-T e ISS'!N153</f>
        <v>0</v>
      </c>
      <c r="T153" s="604">
        <f>'CADASTRO V-T e ISS'!O153</f>
        <v>0</v>
      </c>
      <c r="U153" s="608">
        <f t="shared" si="16"/>
        <v>0</v>
      </c>
      <c r="V153" s="608">
        <f t="shared" si="17"/>
        <v>0</v>
      </c>
      <c r="W153" s="608">
        <f t="shared" si="18"/>
        <v>0</v>
      </c>
      <c r="X153" s="608">
        <f t="shared" si="19"/>
        <v>0</v>
      </c>
    </row>
    <row r="154" spans="1:24">
      <c r="A154" s="604">
        <f>'CADASTRO V-T e ISS'!A154</f>
        <v>149</v>
      </c>
      <c r="B154" s="605" t="str">
        <f>'CADASTRO V-T e ISS'!B154</f>
        <v>Quixadá</v>
      </c>
      <c r="C154" s="606">
        <f>IF('CADASTRO V-T e ISS'!C154="SIM",'CADASTRO V-T e ISS'!D154*'CADASTRO V-T e ISS'!E154*'CADASTRO V-T e ISS'!F154,0)</f>
        <v>0</v>
      </c>
      <c r="D154" s="607">
        <f>'CADASTRO V-T e ISS'!G154</f>
        <v>0</v>
      </c>
      <c r="E154" s="621">
        <f>(('VALOR POSTOS MÊS '!E40+('VALOR POSTOS MÊS '!E48+'VALOR POSTOS MÊS '!E62+(MAX(0,$C154-0.06*'VALOR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'!$D$149-$D154)</f>
        <v>8428.8640036363649</v>
      </c>
      <c r="F154" s="621">
        <f>(('VALOR POSTOS MÊS '!F40+('VALOR POSTOS MÊS '!F48+'VALOR POSTOS MÊS '!F62+(MAX(0,$C154-0.06*'VALOR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'!$D$149-$D154)</f>
        <v>8281.6094581818197</v>
      </c>
      <c r="G154" s="621">
        <f>(('VALOR POSTOS MÊS '!G40+('VALOR POSTOS MÊS '!G48+'VALOR POSTOS MÊS '!G62+(MAX(0,$C154-0.06*'VALOR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'!$D$149-$D154)</f>
        <v>10267.560367272728</v>
      </c>
      <c r="H154" s="621">
        <f>(('VALOR POSTOS MÊS '!H40+('VALOR POSTOS MÊS '!H48+'VALOR POSTOS MÊS '!H62+(MAX(0,$C154-0.06*'VALOR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'!$D$149-$D154)</f>
        <v>12184.771276363639</v>
      </c>
      <c r="I154" s="621">
        <f>(('VALOR POSTOS MÊS '!I40+('VALOR POSTOS MÊS '!I48+'VALOR POSTOS MÊS '!I62+(MAX(0,$C154-0.06*'VALOR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'!$D$149-$D154)</f>
        <v>15820.113094545455</v>
      </c>
      <c r="J154" s="621">
        <f>(('VALOR POSTOS MÊS '!J40+('VALOR POSTOS MÊS '!J48+'VALOR POSTOS MÊS '!J62+(MAX(0,$C154-0.06*'VALOR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'!$D$149-$D154)</f>
        <v>19964.125821818187</v>
      </c>
      <c r="K154" s="621">
        <f>(('VALOR POSTOS MÊS '!K40+('VALOR POSTOS MÊS '!K48+'VALOR POSTOS MÊS '!K62+(MAX(0,$C154-0.06*'VALOR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'!$D$149-$D154)</f>
        <v>10555.705821818183</v>
      </c>
      <c r="L154" s="621">
        <f>(('VALOR POSTOS MÊS '!L40+('VALOR POSTOS MÊS '!L48+'VALOR POSTOS MÊS '!L62+(MAX(0,$C154-0.06*'VALOR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'!$D$149-$D154)</f>
        <v>10285.696730909092</v>
      </c>
      <c r="M154" s="604">
        <f>'CADASTRO V-T e ISS'!H154</f>
        <v>4</v>
      </c>
      <c r="N154" s="604">
        <f>'CADASTRO V-T e ISS'!I154</f>
        <v>8</v>
      </c>
      <c r="O154" s="604">
        <f>'CADASTRO V-T e ISS'!J154</f>
        <v>1</v>
      </c>
      <c r="P154" s="604">
        <f>'CADASTRO V-T e ISS'!K154</f>
        <v>4</v>
      </c>
      <c r="Q154" s="604">
        <f>'CADASTRO V-T e ISS'!L154</f>
        <v>1</v>
      </c>
      <c r="R154" s="604">
        <f>'CADASTRO V-T e ISS'!M154</f>
        <v>0</v>
      </c>
      <c r="S154" s="604">
        <f>'CADASTRO V-T e ISS'!N154</f>
        <v>1</v>
      </c>
      <c r="T154" s="604">
        <f>'CADASTRO V-T e ISS'!O154</f>
        <v>0</v>
      </c>
      <c r="U154" s="608">
        <f t="shared" si="16"/>
        <v>185350.79606909095</v>
      </c>
      <c r="V154" s="608">
        <f t="shared" si="17"/>
        <v>3707.0159213818192</v>
      </c>
      <c r="W154" s="608">
        <f t="shared" si="18"/>
        <v>189057.81199047278</v>
      </c>
      <c r="X154" s="608">
        <f t="shared" si="19"/>
        <v>4537387.4877713472</v>
      </c>
    </row>
    <row r="155" spans="1:24">
      <c r="A155" s="604">
        <f>'CADASTRO V-T e ISS'!A155</f>
        <v>150</v>
      </c>
      <c r="B155" s="605" t="str">
        <f>'CADASTRO V-T e ISS'!B155</f>
        <v>Quixelô</v>
      </c>
      <c r="C155" s="606">
        <f>IF('CADASTRO V-T e ISS'!C155="SIM",'CADASTRO V-T e ISS'!D155*'CADASTRO V-T e ISS'!E155*'CADASTRO V-T e ISS'!F155,0)</f>
        <v>0</v>
      </c>
      <c r="D155" s="607">
        <f>'CADASTRO V-T e ISS'!G155</f>
        <v>0</v>
      </c>
      <c r="E155" s="621">
        <f>(('VALOR POSTOS MÊS '!E40+('VALOR POSTOS MÊS '!E48+'VALOR POSTOS MÊS '!E62+(MAX(0,$C155-0.06*'VALOR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'!$D$149-$D155)</f>
        <v>8428.8640036363649</v>
      </c>
      <c r="F155" s="621">
        <f>(('VALOR POSTOS MÊS '!F40+('VALOR POSTOS MÊS '!F48+'VALOR POSTOS MÊS '!F62+(MAX(0,$C155-0.06*'VALOR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'!$D$149-$D155)</f>
        <v>8281.6094581818197</v>
      </c>
      <c r="G155" s="621">
        <f>(('VALOR POSTOS MÊS '!G40+('VALOR POSTOS MÊS '!G48+'VALOR POSTOS MÊS '!G62+(MAX(0,$C155-0.06*'VALOR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'!$D$149-$D155)</f>
        <v>10267.560367272728</v>
      </c>
      <c r="H155" s="621">
        <f>(('VALOR POSTOS MÊS '!H40+('VALOR POSTOS MÊS '!H48+'VALOR POSTOS MÊS '!H62+(MAX(0,$C155-0.06*'VALOR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'!$D$149-$D155)</f>
        <v>12184.771276363639</v>
      </c>
      <c r="I155" s="621">
        <f>(('VALOR POSTOS MÊS '!I40+('VALOR POSTOS MÊS '!I48+'VALOR POSTOS MÊS '!I62+(MAX(0,$C155-0.06*'VALOR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'!$D$149-$D155)</f>
        <v>15820.113094545455</v>
      </c>
      <c r="J155" s="621">
        <f>(('VALOR POSTOS MÊS '!J40+('VALOR POSTOS MÊS '!J48+'VALOR POSTOS MÊS '!J62+(MAX(0,$C155-0.06*'VALOR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'!$D$149-$D155)</f>
        <v>19964.125821818187</v>
      </c>
      <c r="K155" s="621">
        <f>(('VALOR POSTOS MÊS '!K40+('VALOR POSTOS MÊS '!K48+'VALOR POSTOS MÊS '!K62+(MAX(0,$C155-0.06*'VALOR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'!$D$149-$D155)</f>
        <v>10555.705821818183</v>
      </c>
      <c r="L155" s="621">
        <f>(('VALOR POSTOS MÊS '!L40+('VALOR POSTOS MÊS '!L48+'VALOR POSTOS MÊS '!L62+(MAX(0,$C155-0.06*'VALOR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'!$D$149-$D155)</f>
        <v>10285.696730909092</v>
      </c>
      <c r="M155" s="604">
        <f>'CADASTRO V-T e ISS'!H155</f>
        <v>0</v>
      </c>
      <c r="N155" s="604">
        <f>'CADASTRO V-T e ISS'!I155</f>
        <v>0</v>
      </c>
      <c r="O155" s="604">
        <f>'CADASTRO V-T e ISS'!J155</f>
        <v>0</v>
      </c>
      <c r="P155" s="604">
        <f>'CADASTRO V-T e ISS'!K155</f>
        <v>0</v>
      </c>
      <c r="Q155" s="604">
        <f>'CADASTRO V-T e ISS'!L155</f>
        <v>0</v>
      </c>
      <c r="R155" s="604">
        <f>'CADASTRO V-T e ISS'!M155</f>
        <v>0</v>
      </c>
      <c r="S155" s="604">
        <f>'CADASTRO V-T e ISS'!N155</f>
        <v>0</v>
      </c>
      <c r="T155" s="604">
        <f>'CADASTRO V-T e ISS'!O155</f>
        <v>0</v>
      </c>
      <c r="U155" s="608">
        <f t="shared" si="16"/>
        <v>0</v>
      </c>
      <c r="V155" s="608">
        <f t="shared" si="17"/>
        <v>0</v>
      </c>
      <c r="W155" s="608">
        <f t="shared" si="18"/>
        <v>0</v>
      </c>
      <c r="X155" s="608">
        <f t="shared" si="19"/>
        <v>0</v>
      </c>
    </row>
    <row r="156" spans="1:24">
      <c r="A156" s="604">
        <f>'CADASTRO V-T e ISS'!A156</f>
        <v>151</v>
      </c>
      <c r="B156" s="605" t="str">
        <f>'CADASTRO V-T e ISS'!B156</f>
        <v>Quixeramobim</v>
      </c>
      <c r="C156" s="606">
        <f>IF('CADASTRO V-T e ISS'!C156="SIM",'CADASTRO V-T e ISS'!D156*'CADASTRO V-T e ISS'!E156*'CADASTRO V-T e ISS'!F156,0)</f>
        <v>0</v>
      </c>
      <c r="D156" s="607">
        <f>'CADASTRO V-T e ISS'!G156</f>
        <v>0</v>
      </c>
      <c r="E156" s="621">
        <f>(('VALOR POSTOS MÊS '!E40+('VALOR POSTOS MÊS '!E48+'VALOR POSTOS MÊS '!E62+(MAX(0,$C156-0.06*'VALOR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'!$D$149-$D156)</f>
        <v>8428.8640036363649</v>
      </c>
      <c r="F156" s="621">
        <f>(('VALOR POSTOS MÊS '!F40+('VALOR POSTOS MÊS '!F48+'VALOR POSTOS MÊS '!F62+(MAX(0,$C156-0.06*'VALOR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'!$D$149-$D156)</f>
        <v>8281.6094581818197</v>
      </c>
      <c r="G156" s="621">
        <f>(('VALOR POSTOS MÊS '!G40+('VALOR POSTOS MÊS '!G48+'VALOR POSTOS MÊS '!G62+(MAX(0,$C156-0.06*'VALOR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'!$D$149-$D156)</f>
        <v>10267.560367272728</v>
      </c>
      <c r="H156" s="621">
        <f>(('VALOR POSTOS MÊS '!H40+('VALOR POSTOS MÊS '!H48+'VALOR POSTOS MÊS '!H62+(MAX(0,$C156-0.06*'VALOR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'!$D$149-$D156)</f>
        <v>12184.771276363639</v>
      </c>
      <c r="I156" s="621">
        <f>(('VALOR POSTOS MÊS '!I40+('VALOR POSTOS MÊS '!I48+'VALOR POSTOS MÊS '!I62+(MAX(0,$C156-0.06*'VALOR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'!$D$149-$D156)</f>
        <v>15820.113094545455</v>
      </c>
      <c r="J156" s="621">
        <f>(('VALOR POSTOS MÊS '!J40+('VALOR POSTOS MÊS '!J48+'VALOR POSTOS MÊS '!J62+(MAX(0,$C156-0.06*'VALOR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'!$D$149-$D156)</f>
        <v>19964.125821818187</v>
      </c>
      <c r="K156" s="621">
        <f>(('VALOR POSTOS MÊS '!K40+('VALOR POSTOS MÊS '!K48+'VALOR POSTOS MÊS '!K62+(MAX(0,$C156-0.06*'VALOR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'!$D$149-$D156)</f>
        <v>10555.705821818183</v>
      </c>
      <c r="L156" s="621">
        <f>(('VALOR POSTOS MÊS '!L40+('VALOR POSTOS MÊS '!L48+'VALOR POSTOS MÊS '!L62+(MAX(0,$C156-0.06*'VALOR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'!$D$149-$D156)</f>
        <v>10285.696730909092</v>
      </c>
      <c r="M156" s="604">
        <f>'CADASTRO V-T e ISS'!H156</f>
        <v>1</v>
      </c>
      <c r="N156" s="604">
        <f>'CADASTRO V-T e ISS'!I156</f>
        <v>2</v>
      </c>
      <c r="O156" s="604">
        <f>'CADASTRO V-T e ISS'!J156</f>
        <v>0</v>
      </c>
      <c r="P156" s="604">
        <f>'CADASTRO V-T e ISS'!K156</f>
        <v>0</v>
      </c>
      <c r="Q156" s="604">
        <f>'CADASTRO V-T e ISS'!L156</f>
        <v>0</v>
      </c>
      <c r="R156" s="604">
        <f>'CADASTRO V-T e ISS'!M156</f>
        <v>0</v>
      </c>
      <c r="S156" s="604">
        <f>'CADASTRO V-T e ISS'!N156</f>
        <v>0</v>
      </c>
      <c r="T156" s="604">
        <f>'CADASTRO V-T e ISS'!O156</f>
        <v>0</v>
      </c>
      <c r="U156" s="608">
        <f t="shared" si="16"/>
        <v>24992.082920000004</v>
      </c>
      <c r="V156" s="608">
        <f t="shared" si="17"/>
        <v>499.84165840000009</v>
      </c>
      <c r="W156" s="608">
        <f t="shared" si="18"/>
        <v>25491.924578400005</v>
      </c>
      <c r="X156" s="608">
        <f t="shared" si="19"/>
        <v>611806.18988160009</v>
      </c>
    </row>
    <row r="157" spans="1:24">
      <c r="A157" s="604">
        <f>'CADASTRO V-T e ISS'!A157</f>
        <v>152</v>
      </c>
      <c r="B157" s="605" t="str">
        <f>'CADASTRO V-T e ISS'!B157</f>
        <v>Quixeré</v>
      </c>
      <c r="C157" s="606">
        <f>IF('CADASTRO V-T e ISS'!C157="SIM",'CADASTRO V-T e ISS'!D157*'CADASTRO V-T e ISS'!E157*'CADASTRO V-T e ISS'!F157,0)</f>
        <v>0</v>
      </c>
      <c r="D157" s="607">
        <f>'CADASTRO V-T e ISS'!G157</f>
        <v>0</v>
      </c>
      <c r="E157" s="621">
        <f>(('VALOR POSTOS MÊS '!E40+('VALOR POSTOS MÊS '!E48+'VALOR POSTOS MÊS '!E62+(MAX(0,$C157-0.06*'VALOR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'!$D$149-$D157)</f>
        <v>8428.8640036363649</v>
      </c>
      <c r="F157" s="621">
        <f>(('VALOR POSTOS MÊS '!F40+('VALOR POSTOS MÊS '!F48+'VALOR POSTOS MÊS '!F62+(MAX(0,$C157-0.06*'VALOR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'!$D$149-$D157)</f>
        <v>8281.6094581818197</v>
      </c>
      <c r="G157" s="621">
        <f>(('VALOR POSTOS MÊS '!G40+('VALOR POSTOS MÊS '!G48+'VALOR POSTOS MÊS '!G62+(MAX(0,$C157-0.06*'VALOR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'!$D$149-$D157)</f>
        <v>10267.560367272728</v>
      </c>
      <c r="H157" s="621">
        <f>(('VALOR POSTOS MÊS '!H40+('VALOR POSTOS MÊS '!H48+'VALOR POSTOS MÊS '!H62+(MAX(0,$C157-0.06*'VALOR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'!$D$149-$D157)</f>
        <v>12184.771276363639</v>
      </c>
      <c r="I157" s="621">
        <f>(('VALOR POSTOS MÊS '!I40+('VALOR POSTOS MÊS '!I48+'VALOR POSTOS MÊS '!I62+(MAX(0,$C157-0.06*'VALOR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'!$D$149-$D157)</f>
        <v>15820.113094545455</v>
      </c>
      <c r="J157" s="621">
        <f>(('VALOR POSTOS MÊS '!J40+('VALOR POSTOS MÊS '!J48+'VALOR POSTOS MÊS '!J62+(MAX(0,$C157-0.06*'VALOR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'!$D$149-$D157)</f>
        <v>19964.125821818187</v>
      </c>
      <c r="K157" s="621">
        <f>(('VALOR POSTOS MÊS '!K40+('VALOR POSTOS MÊS '!K48+'VALOR POSTOS MÊS '!K62+(MAX(0,$C157-0.06*'VALOR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'!$D$149-$D157)</f>
        <v>10555.705821818183</v>
      </c>
      <c r="L157" s="621">
        <f>(('VALOR POSTOS MÊS '!L40+('VALOR POSTOS MÊS '!L48+'VALOR POSTOS MÊS '!L62+(MAX(0,$C157-0.06*'VALOR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'!$D$149-$D157)</f>
        <v>10285.696730909092</v>
      </c>
      <c r="M157" s="604">
        <f>'CADASTRO V-T e ISS'!H157</f>
        <v>0</v>
      </c>
      <c r="N157" s="604">
        <f>'CADASTRO V-T e ISS'!I157</f>
        <v>0</v>
      </c>
      <c r="O157" s="604">
        <f>'CADASTRO V-T e ISS'!J157</f>
        <v>0</v>
      </c>
      <c r="P157" s="604">
        <f>'CADASTRO V-T e ISS'!K157</f>
        <v>0</v>
      </c>
      <c r="Q157" s="604">
        <f>'CADASTRO V-T e ISS'!L157</f>
        <v>0</v>
      </c>
      <c r="R157" s="604">
        <f>'CADASTRO V-T e ISS'!M157</f>
        <v>0</v>
      </c>
      <c r="S157" s="604">
        <f>'CADASTRO V-T e ISS'!N157</f>
        <v>0</v>
      </c>
      <c r="T157" s="604">
        <f>'CADASTRO V-T e ISS'!O157</f>
        <v>0</v>
      </c>
      <c r="U157" s="608">
        <f t="shared" si="16"/>
        <v>0</v>
      </c>
      <c r="V157" s="608">
        <f t="shared" si="17"/>
        <v>0</v>
      </c>
      <c r="W157" s="608">
        <f t="shared" si="18"/>
        <v>0</v>
      </c>
      <c r="X157" s="608">
        <f t="shared" si="19"/>
        <v>0</v>
      </c>
    </row>
    <row r="158" spans="1:24">
      <c r="A158" s="604">
        <f>'CADASTRO V-T e ISS'!A158</f>
        <v>153</v>
      </c>
      <c r="B158" s="605" t="str">
        <f>'CADASTRO V-T e ISS'!B158</f>
        <v>Redenção</v>
      </c>
      <c r="C158" s="606">
        <f>IF('CADASTRO V-T e ISS'!C158="SIM",'CADASTRO V-T e ISS'!D158*'CADASTRO V-T e ISS'!E158*'CADASTRO V-T e ISS'!F158,0)</f>
        <v>0</v>
      </c>
      <c r="D158" s="607">
        <f>'CADASTRO V-T e ISS'!G158</f>
        <v>0</v>
      </c>
      <c r="E158" s="621">
        <f>(('VALOR POSTOS MÊS '!E40+('VALOR POSTOS MÊS '!E48+'VALOR POSTOS MÊS '!E62+(MAX(0,$C158-0.06*'VALOR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'!$D$149-$D158)</f>
        <v>8428.8640036363649</v>
      </c>
      <c r="F158" s="621">
        <f>(('VALOR POSTOS MÊS '!F40+('VALOR POSTOS MÊS '!F48+'VALOR POSTOS MÊS '!F62+(MAX(0,$C158-0.06*'VALOR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'!$D$149-$D158)</f>
        <v>8281.6094581818197</v>
      </c>
      <c r="G158" s="621">
        <f>(('VALOR POSTOS MÊS '!G40+('VALOR POSTOS MÊS '!G48+'VALOR POSTOS MÊS '!G62+(MAX(0,$C158-0.06*'VALOR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'!$D$149-$D158)</f>
        <v>10267.560367272728</v>
      </c>
      <c r="H158" s="621">
        <f>(('VALOR POSTOS MÊS '!H40+('VALOR POSTOS MÊS '!H48+'VALOR POSTOS MÊS '!H62+(MAX(0,$C158-0.06*'VALOR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'!$D$149-$D158)</f>
        <v>12184.771276363639</v>
      </c>
      <c r="I158" s="621">
        <f>(('VALOR POSTOS MÊS '!I40+('VALOR POSTOS MÊS '!I48+'VALOR POSTOS MÊS '!I62+(MAX(0,$C158-0.06*'VALOR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'!$D$149-$D158)</f>
        <v>15820.113094545455</v>
      </c>
      <c r="J158" s="621">
        <f>(('VALOR POSTOS MÊS '!J40+('VALOR POSTOS MÊS '!J48+'VALOR POSTOS MÊS '!J62+(MAX(0,$C158-0.06*'VALOR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'!$D$149-$D158)</f>
        <v>19964.125821818187</v>
      </c>
      <c r="K158" s="621">
        <f>(('VALOR POSTOS MÊS '!K40+('VALOR POSTOS MÊS '!K48+'VALOR POSTOS MÊS '!K62+(MAX(0,$C158-0.06*'VALOR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'!$D$149-$D158)</f>
        <v>10555.705821818183</v>
      </c>
      <c r="L158" s="621">
        <f>(('VALOR POSTOS MÊS '!L40+('VALOR POSTOS MÊS '!L48+'VALOR POSTOS MÊS '!L62+(MAX(0,$C158-0.06*'VALOR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'!$D$149-$D158)</f>
        <v>10285.696730909092</v>
      </c>
      <c r="M158" s="604">
        <f>'CADASTRO V-T e ISS'!H158</f>
        <v>1</v>
      </c>
      <c r="N158" s="604">
        <f>'CADASTRO V-T e ISS'!I158</f>
        <v>1</v>
      </c>
      <c r="O158" s="604">
        <f>'CADASTRO V-T e ISS'!J158</f>
        <v>0</v>
      </c>
      <c r="P158" s="604">
        <f>'CADASTRO V-T e ISS'!K158</f>
        <v>0</v>
      </c>
      <c r="Q158" s="604">
        <f>'CADASTRO V-T e ISS'!L158</f>
        <v>0</v>
      </c>
      <c r="R158" s="604">
        <f>'CADASTRO V-T e ISS'!M158</f>
        <v>0</v>
      </c>
      <c r="S158" s="604">
        <f>'CADASTRO V-T e ISS'!N158</f>
        <v>0</v>
      </c>
      <c r="T158" s="604">
        <f>'CADASTRO V-T e ISS'!O158</f>
        <v>0</v>
      </c>
      <c r="U158" s="608">
        <f t="shared" si="16"/>
        <v>16710.473461818183</v>
      </c>
      <c r="V158" s="608">
        <f t="shared" si="17"/>
        <v>334.20946923636365</v>
      </c>
      <c r="W158" s="608">
        <f t="shared" si="18"/>
        <v>17044.682931054547</v>
      </c>
      <c r="X158" s="608">
        <f t="shared" si="19"/>
        <v>409072.39034530916</v>
      </c>
    </row>
    <row r="159" spans="1:24">
      <c r="A159" s="604">
        <f>'CADASTRO V-T e ISS'!A159</f>
        <v>154</v>
      </c>
      <c r="B159" s="605" t="str">
        <f>'CADASTRO V-T e ISS'!B159</f>
        <v>Reriutaba</v>
      </c>
      <c r="C159" s="606">
        <f>IF('CADASTRO V-T e ISS'!C159="SIM",'CADASTRO V-T e ISS'!D159*'CADASTRO V-T e ISS'!E159*'CADASTRO V-T e ISS'!F159,0)</f>
        <v>0</v>
      </c>
      <c r="D159" s="607">
        <f>'CADASTRO V-T e ISS'!G159</f>
        <v>0</v>
      </c>
      <c r="E159" s="621">
        <f>(('VALOR POSTOS MÊS '!E40+('VALOR POSTOS MÊS '!E48+'VALOR POSTOS MÊS '!E62+(MAX(0,$C159-0.06*'VALOR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'!E62+(MAX(0,$C159-0.06*'VALOR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'!$D$149-$D159)</f>
        <v>8428.8640036363649</v>
      </c>
      <c r="F159" s="621">
        <f>(('VALOR POSTOS MÊS '!F40+('VALOR POSTOS MÊS '!F48+'VALOR POSTOS MÊS '!F62+(MAX(0,$C159-0.06*'VALOR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'!F62+(MAX(0,$C159-0.06*'VALOR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'!$D$149-$D159)</f>
        <v>8281.6094581818197</v>
      </c>
      <c r="G159" s="621">
        <f>(('VALOR POSTOS MÊS '!G40+('VALOR POSTOS MÊS '!G48+'VALOR POSTOS MÊS '!G62+(MAX(0,$C159-0.06*'VALOR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'!G62+(MAX(0,$C159-0.06*'VALOR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'!$D$149-$D159)</f>
        <v>10267.560367272728</v>
      </c>
      <c r="H159" s="621">
        <f>(('VALOR POSTOS MÊS '!H40+('VALOR POSTOS MÊS '!H48+'VALOR POSTOS MÊS '!H62+(MAX(0,$C159-0.06*'VALOR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'!H62+(MAX(0,$C159-0.06*'VALOR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'!$D$149-$D159)</f>
        <v>12184.771276363639</v>
      </c>
      <c r="I159" s="621">
        <f>(('VALOR POSTOS MÊS '!I40+('VALOR POSTOS MÊS '!I48+'VALOR POSTOS MÊS '!I62+(MAX(0,$C159-0.06*'VALOR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'!I62+(MAX(0,$C159-0.06*'VALOR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'!$D$149-$D159)</f>
        <v>15820.113094545455</v>
      </c>
      <c r="J159" s="621">
        <f>(('VALOR POSTOS MÊS '!J40+('VALOR POSTOS MÊS '!J48+'VALOR POSTOS MÊS '!J62+(MAX(0,$C159-0.06*'VALOR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'!J62+(MAX(0,$C159-0.06*'VALOR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'!$D$149-$D159)</f>
        <v>19964.125821818187</v>
      </c>
      <c r="K159" s="621">
        <f>(('VALOR POSTOS MÊS '!K40+('VALOR POSTOS MÊS '!K48+'VALOR POSTOS MÊS '!K62+(MAX(0,$C159-0.06*'VALOR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'!K62+(MAX(0,$C159-0.06*'VALOR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'!$D$149-$D159)</f>
        <v>10555.705821818183</v>
      </c>
      <c r="L159" s="621">
        <f>(('VALOR POSTOS MÊS '!L40+('VALOR POSTOS MÊS '!L48+'VALOR POSTOS MÊS '!L62+(MAX(0,$C159-0.06*'VALOR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'!L62+(MAX(0,$C159-0.06*'VALOR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'!$D$149-$D159)</f>
        <v>10285.696730909092</v>
      </c>
      <c r="M159" s="604">
        <f>'CADASTRO V-T e ISS'!H159</f>
        <v>1</v>
      </c>
      <c r="N159" s="604">
        <f>'CADASTRO V-T e ISS'!I159</f>
        <v>1</v>
      </c>
      <c r="O159" s="604">
        <f>'CADASTRO V-T e ISS'!J159</f>
        <v>0</v>
      </c>
      <c r="P159" s="604">
        <f>'CADASTRO V-T e ISS'!K159</f>
        <v>0</v>
      </c>
      <c r="Q159" s="604">
        <f>'CADASTRO V-T e ISS'!L159</f>
        <v>0</v>
      </c>
      <c r="R159" s="604">
        <f>'CADASTRO V-T e ISS'!M159</f>
        <v>0</v>
      </c>
      <c r="S159" s="604">
        <f>'CADASTRO V-T e ISS'!N159</f>
        <v>0</v>
      </c>
      <c r="T159" s="604">
        <f>'CADASTRO V-T e ISS'!O159</f>
        <v>0</v>
      </c>
      <c r="U159" s="608">
        <f t="shared" si="16"/>
        <v>16710.473461818183</v>
      </c>
      <c r="V159" s="608">
        <f t="shared" si="17"/>
        <v>334.20946923636365</v>
      </c>
      <c r="W159" s="608">
        <f t="shared" si="18"/>
        <v>17044.682931054547</v>
      </c>
      <c r="X159" s="608">
        <f t="shared" si="19"/>
        <v>409072.39034530916</v>
      </c>
    </row>
    <row r="160" spans="1:24">
      <c r="A160" s="604">
        <f>'CADASTRO V-T e ISS'!A160</f>
        <v>155</v>
      </c>
      <c r="B160" s="605" t="str">
        <f>'CADASTRO V-T e ISS'!B160</f>
        <v>Russas</v>
      </c>
      <c r="C160" s="606">
        <f>IF('CADASTRO V-T e ISS'!C160="SIM",'CADASTRO V-T e ISS'!D160*'CADASTRO V-T e ISS'!E160*'CADASTRO V-T e ISS'!F160,0)</f>
        <v>0</v>
      </c>
      <c r="D160" s="607">
        <f>'CADASTRO V-T e ISS'!G160</f>
        <v>0</v>
      </c>
      <c r="E160" s="621">
        <f>(('VALOR POSTOS MÊS '!E40+('VALOR POSTOS MÊS '!E48+'VALOR POSTOS MÊS '!E62+(MAX(0,$C160-0.06*'VALOR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'!$D$149-$D160)</f>
        <v>8428.8640036363649</v>
      </c>
      <c r="F160" s="621">
        <f>(('VALOR POSTOS MÊS '!F40+('VALOR POSTOS MÊS '!F48+'VALOR POSTOS MÊS '!F62+(MAX(0,$C160-0.06*'VALOR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'!$D$149-$D160)</f>
        <v>8281.6094581818197</v>
      </c>
      <c r="G160" s="621">
        <f>(('VALOR POSTOS MÊS '!G40+('VALOR POSTOS MÊS '!G48+'VALOR POSTOS MÊS '!G62+(MAX(0,$C160-0.06*'VALOR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'!$D$149-$D160)</f>
        <v>10267.560367272728</v>
      </c>
      <c r="H160" s="621">
        <f>(('VALOR POSTOS MÊS '!H40+('VALOR POSTOS MÊS '!H48+'VALOR POSTOS MÊS '!H62+(MAX(0,$C160-0.06*'VALOR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'!$D$149-$D160)</f>
        <v>12184.771276363639</v>
      </c>
      <c r="I160" s="621">
        <f>(('VALOR POSTOS MÊS '!I40+('VALOR POSTOS MÊS '!I48+'VALOR POSTOS MÊS '!I62+(MAX(0,$C160-0.06*'VALOR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'!$D$149-$D160)</f>
        <v>15820.113094545455</v>
      </c>
      <c r="J160" s="621">
        <f>(('VALOR POSTOS MÊS '!J40+('VALOR POSTOS MÊS '!J48+'VALOR POSTOS MÊS '!J62+(MAX(0,$C160-0.06*'VALOR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'!$D$149-$D160)</f>
        <v>19964.125821818187</v>
      </c>
      <c r="K160" s="621">
        <f>(('VALOR POSTOS MÊS '!K40+('VALOR POSTOS MÊS '!K48+'VALOR POSTOS MÊS '!K62+(MAX(0,$C160-0.06*'VALOR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'!$D$149-$D160)</f>
        <v>10555.705821818183</v>
      </c>
      <c r="L160" s="621">
        <f>(('VALOR POSTOS MÊS '!L40+('VALOR POSTOS MÊS '!L48+'VALOR POSTOS MÊS '!L62+(MAX(0,$C160-0.06*'VALOR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'!$D$149-$D160)</f>
        <v>10285.696730909092</v>
      </c>
      <c r="M160" s="604">
        <f>'CADASTRO V-T e ISS'!H160</f>
        <v>1</v>
      </c>
      <c r="N160" s="604">
        <f>'CADASTRO V-T e ISS'!I160</f>
        <v>2</v>
      </c>
      <c r="O160" s="604">
        <f>'CADASTRO V-T e ISS'!J160</f>
        <v>0</v>
      </c>
      <c r="P160" s="604">
        <f>'CADASTRO V-T e ISS'!K160</f>
        <v>0</v>
      </c>
      <c r="Q160" s="604">
        <f>'CADASTRO V-T e ISS'!L160</f>
        <v>0</v>
      </c>
      <c r="R160" s="604">
        <f>'CADASTRO V-T e ISS'!M160</f>
        <v>0</v>
      </c>
      <c r="S160" s="604">
        <f>'CADASTRO V-T e ISS'!N160</f>
        <v>0</v>
      </c>
      <c r="T160" s="604">
        <f>'CADASTRO V-T e ISS'!O160</f>
        <v>0</v>
      </c>
      <c r="U160" s="608">
        <f t="shared" si="16"/>
        <v>24992.082920000004</v>
      </c>
      <c r="V160" s="608">
        <f t="shared" si="17"/>
        <v>499.84165840000009</v>
      </c>
      <c r="W160" s="608">
        <f t="shared" si="18"/>
        <v>25491.924578400005</v>
      </c>
      <c r="X160" s="608">
        <f t="shared" si="19"/>
        <v>611806.18988160009</v>
      </c>
    </row>
    <row r="161" spans="1:24">
      <c r="A161" s="604">
        <f>'CADASTRO V-T e ISS'!A161</f>
        <v>156</v>
      </c>
      <c r="B161" s="605" t="str">
        <f>'CADASTRO V-T e ISS'!B161</f>
        <v>Saboeiro</v>
      </c>
      <c r="C161" s="606">
        <f>IF('CADASTRO V-T e ISS'!C161="SIM",'CADASTRO V-T e ISS'!D161*'CADASTRO V-T e ISS'!E161*'CADASTRO V-T e ISS'!F161,0)</f>
        <v>0</v>
      </c>
      <c r="D161" s="607">
        <f>'CADASTRO V-T e ISS'!G161</f>
        <v>0</v>
      </c>
      <c r="E161" s="621">
        <f>(('VALOR POSTOS MÊS '!E40+('VALOR POSTOS MÊS '!E48+'VALOR POSTOS MÊS '!E62+(MAX(0,$C161-0.06*'VALOR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'!$D$149-$D161)</f>
        <v>8428.8640036363649</v>
      </c>
      <c r="F161" s="621">
        <f>(('VALOR POSTOS MÊS '!F40+('VALOR POSTOS MÊS '!F48+'VALOR POSTOS MÊS '!F62+(MAX(0,$C161-0.06*'VALOR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'!$D$149-$D161)</f>
        <v>8281.6094581818197</v>
      </c>
      <c r="G161" s="621">
        <f>(('VALOR POSTOS MÊS '!G40+('VALOR POSTOS MÊS '!G48+'VALOR POSTOS MÊS '!G62+(MAX(0,$C161-0.06*'VALOR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'!$D$149-$D161)</f>
        <v>10267.560367272728</v>
      </c>
      <c r="H161" s="621">
        <f>(('VALOR POSTOS MÊS '!H40+('VALOR POSTOS MÊS '!H48+'VALOR POSTOS MÊS '!H62+(MAX(0,$C161-0.06*'VALOR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'!$D$149-$D161)</f>
        <v>12184.771276363639</v>
      </c>
      <c r="I161" s="621">
        <f>(('VALOR POSTOS MÊS '!I40+('VALOR POSTOS MÊS '!I48+'VALOR POSTOS MÊS '!I62+(MAX(0,$C161-0.06*'VALOR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'!$D$149-$D161)</f>
        <v>15820.113094545455</v>
      </c>
      <c r="J161" s="621">
        <f>(('VALOR POSTOS MÊS '!J40+('VALOR POSTOS MÊS '!J48+'VALOR POSTOS MÊS '!J62+(MAX(0,$C161-0.06*'VALOR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'!$D$149-$D161)</f>
        <v>19964.125821818187</v>
      </c>
      <c r="K161" s="621">
        <f>(('VALOR POSTOS MÊS '!K40+('VALOR POSTOS MÊS '!K48+'VALOR POSTOS MÊS '!K62+(MAX(0,$C161-0.06*'VALOR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'!$D$149-$D161)</f>
        <v>10555.705821818183</v>
      </c>
      <c r="L161" s="621">
        <f>(('VALOR POSTOS MÊS '!L40+('VALOR POSTOS MÊS '!L48+'VALOR POSTOS MÊS '!L62+(MAX(0,$C161-0.06*'VALOR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'!$D$149-$D161)</f>
        <v>10285.696730909092</v>
      </c>
      <c r="M161" s="604">
        <f>'CADASTRO V-T e ISS'!H161</f>
        <v>0</v>
      </c>
      <c r="N161" s="604">
        <f>'CADASTRO V-T e ISS'!I161</f>
        <v>0</v>
      </c>
      <c r="O161" s="604">
        <f>'CADASTRO V-T e ISS'!J161</f>
        <v>0</v>
      </c>
      <c r="P161" s="604">
        <f>'CADASTRO V-T e ISS'!K161</f>
        <v>0</v>
      </c>
      <c r="Q161" s="604">
        <f>'CADASTRO V-T e ISS'!L161</f>
        <v>0</v>
      </c>
      <c r="R161" s="604">
        <f>'CADASTRO V-T e ISS'!M161</f>
        <v>0</v>
      </c>
      <c r="S161" s="604">
        <f>'CADASTRO V-T e ISS'!N161</f>
        <v>0</v>
      </c>
      <c r="T161" s="604">
        <f>'CADASTRO V-T e ISS'!O161</f>
        <v>0</v>
      </c>
      <c r="U161" s="608">
        <f t="shared" si="16"/>
        <v>0</v>
      </c>
      <c r="V161" s="608">
        <f t="shared" si="17"/>
        <v>0</v>
      </c>
      <c r="W161" s="608">
        <f t="shared" si="18"/>
        <v>0</v>
      </c>
      <c r="X161" s="608">
        <f t="shared" si="19"/>
        <v>0</v>
      </c>
    </row>
    <row r="162" spans="1:24">
      <c r="A162" s="604">
        <f>'CADASTRO V-T e ISS'!A162</f>
        <v>157</v>
      </c>
      <c r="B162" s="605" t="str">
        <f>'CADASTRO V-T e ISS'!B162</f>
        <v>Salitre</v>
      </c>
      <c r="C162" s="606">
        <f>IF('CADASTRO V-T e ISS'!C162="SIM",'CADASTRO V-T e ISS'!D162*'CADASTRO V-T e ISS'!E162*'CADASTRO V-T e ISS'!F162,0)</f>
        <v>0</v>
      </c>
      <c r="D162" s="607">
        <f>'CADASTRO V-T e ISS'!G162</f>
        <v>0</v>
      </c>
      <c r="E162" s="621">
        <f>(('VALOR POSTOS MÊS '!E40+('VALOR POSTOS MÊS '!E48+'VALOR POSTOS MÊS '!E62+(MAX(0,$C162-0.06*'VALOR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'!$D$149-$D162)</f>
        <v>8428.8640036363649</v>
      </c>
      <c r="F162" s="621">
        <f>(('VALOR POSTOS MÊS '!F40+('VALOR POSTOS MÊS '!F48+'VALOR POSTOS MÊS '!F62+(MAX(0,$C162-0.06*'VALOR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'!$D$149-$D162)</f>
        <v>8281.6094581818197</v>
      </c>
      <c r="G162" s="621">
        <f>(('VALOR POSTOS MÊS '!G40+('VALOR POSTOS MÊS '!G48+'VALOR POSTOS MÊS '!G62+(MAX(0,$C162-0.06*'VALOR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'!$D$149-$D162)</f>
        <v>10267.560367272728</v>
      </c>
      <c r="H162" s="621">
        <f>(('VALOR POSTOS MÊS '!H40+('VALOR POSTOS MÊS '!H48+'VALOR POSTOS MÊS '!H62+(MAX(0,$C162-0.06*'VALOR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'!$D$149-$D162)</f>
        <v>12184.771276363639</v>
      </c>
      <c r="I162" s="621">
        <f>(('VALOR POSTOS MÊS '!I40+('VALOR POSTOS MÊS '!I48+'VALOR POSTOS MÊS '!I62+(MAX(0,$C162-0.06*'VALOR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'!$D$149-$D162)</f>
        <v>15820.113094545455</v>
      </c>
      <c r="J162" s="621">
        <f>(('VALOR POSTOS MÊS '!J40+('VALOR POSTOS MÊS '!J48+'VALOR POSTOS MÊS '!J62+(MAX(0,$C162-0.06*'VALOR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'!$D$149-$D162)</f>
        <v>19964.125821818187</v>
      </c>
      <c r="K162" s="621">
        <f>(('VALOR POSTOS MÊS '!K40+('VALOR POSTOS MÊS '!K48+'VALOR POSTOS MÊS '!K62+(MAX(0,$C162-0.06*'VALOR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'!$D$149-$D162)</f>
        <v>10555.705821818183</v>
      </c>
      <c r="L162" s="621">
        <f>(('VALOR POSTOS MÊS '!L40+('VALOR POSTOS MÊS '!L48+'VALOR POSTOS MÊS '!L62+(MAX(0,$C162-0.06*'VALOR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'!$D$149-$D162)</f>
        <v>10285.696730909092</v>
      </c>
      <c r="M162" s="604">
        <f>'CADASTRO V-T e ISS'!H162</f>
        <v>0</v>
      </c>
      <c r="N162" s="604">
        <f>'CADASTRO V-T e ISS'!I162</f>
        <v>0</v>
      </c>
      <c r="O162" s="604">
        <f>'CADASTRO V-T e ISS'!J162</f>
        <v>0</v>
      </c>
      <c r="P162" s="604">
        <f>'CADASTRO V-T e ISS'!K162</f>
        <v>0</v>
      </c>
      <c r="Q162" s="604">
        <f>'CADASTRO V-T e ISS'!L162</f>
        <v>0</v>
      </c>
      <c r="R162" s="604">
        <f>'CADASTRO V-T e ISS'!M162</f>
        <v>0</v>
      </c>
      <c r="S162" s="604">
        <f>'CADASTRO V-T e ISS'!N162</f>
        <v>0</v>
      </c>
      <c r="T162" s="604">
        <f>'CADASTRO V-T e ISS'!O162</f>
        <v>0</v>
      </c>
      <c r="U162" s="608">
        <f t="shared" si="16"/>
        <v>0</v>
      </c>
      <c r="V162" s="608">
        <f t="shared" si="17"/>
        <v>0</v>
      </c>
      <c r="W162" s="608">
        <f t="shared" si="18"/>
        <v>0</v>
      </c>
      <c r="X162" s="608">
        <f t="shared" si="19"/>
        <v>0</v>
      </c>
    </row>
    <row r="163" spans="1:24">
      <c r="A163" s="604">
        <f>'CADASTRO V-T e ISS'!A163</f>
        <v>158</v>
      </c>
      <c r="B163" s="605" t="str">
        <f>'CADASTRO V-T e ISS'!B163</f>
        <v>Santa Quitéria</v>
      </c>
      <c r="C163" s="606">
        <f>IF('CADASTRO V-T e ISS'!C163="SIM",'CADASTRO V-T e ISS'!D163*'CADASTRO V-T e ISS'!E163*'CADASTRO V-T e ISS'!F163,0)</f>
        <v>0</v>
      </c>
      <c r="D163" s="607">
        <f>'CADASTRO V-T e ISS'!G163</f>
        <v>0</v>
      </c>
      <c r="E163" s="621">
        <f>(('VALOR POSTOS MÊS '!E40+('VALOR POSTOS MÊS '!E48+'VALOR POSTOS MÊS '!E62+(MAX(0,$C163-0.06*'VALOR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'!$D$149-$D163)</f>
        <v>8428.8640036363649</v>
      </c>
      <c r="F163" s="621">
        <f>(('VALOR POSTOS MÊS '!F40+('VALOR POSTOS MÊS '!F48+'VALOR POSTOS MÊS '!F62+(MAX(0,$C163-0.06*'VALOR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'!$D$149-$D163)</f>
        <v>8281.6094581818197</v>
      </c>
      <c r="G163" s="621">
        <f>(('VALOR POSTOS MÊS '!G40+('VALOR POSTOS MÊS '!G48+'VALOR POSTOS MÊS '!G62+(MAX(0,$C163-0.06*'VALOR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'!$D$149-$D163)</f>
        <v>10267.560367272728</v>
      </c>
      <c r="H163" s="621">
        <f>(('VALOR POSTOS MÊS '!H40+('VALOR POSTOS MÊS '!H48+'VALOR POSTOS MÊS '!H62+(MAX(0,$C163-0.06*'VALOR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'!$D$149-$D163)</f>
        <v>12184.771276363639</v>
      </c>
      <c r="I163" s="621">
        <f>(('VALOR POSTOS MÊS '!I40+('VALOR POSTOS MÊS '!I48+'VALOR POSTOS MÊS '!I62+(MAX(0,$C163-0.06*'VALOR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'!$D$149-$D163)</f>
        <v>15820.113094545455</v>
      </c>
      <c r="J163" s="621">
        <f>(('VALOR POSTOS MÊS '!J40+('VALOR POSTOS MÊS '!J48+'VALOR POSTOS MÊS '!J62+(MAX(0,$C163-0.06*'VALOR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'!$D$149-$D163)</f>
        <v>19964.125821818187</v>
      </c>
      <c r="K163" s="621">
        <f>(('VALOR POSTOS MÊS '!K40+('VALOR POSTOS MÊS '!K48+'VALOR POSTOS MÊS '!K62+(MAX(0,$C163-0.06*'VALOR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'!$D$149-$D163)</f>
        <v>10555.705821818183</v>
      </c>
      <c r="L163" s="621">
        <f>(('VALOR POSTOS MÊS '!L40+('VALOR POSTOS MÊS '!L48+'VALOR POSTOS MÊS '!L62+(MAX(0,$C163-0.06*'VALOR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'!$D$149-$D163)</f>
        <v>10285.696730909092</v>
      </c>
      <c r="M163" s="604">
        <f>'CADASTRO V-T e ISS'!H163</f>
        <v>1</v>
      </c>
      <c r="N163" s="604">
        <f>'CADASTRO V-T e ISS'!I163</f>
        <v>2</v>
      </c>
      <c r="O163" s="604">
        <f>'CADASTRO V-T e ISS'!J163</f>
        <v>0</v>
      </c>
      <c r="P163" s="604">
        <f>'CADASTRO V-T e ISS'!K163</f>
        <v>0</v>
      </c>
      <c r="Q163" s="604">
        <f>'CADASTRO V-T e ISS'!L163</f>
        <v>0</v>
      </c>
      <c r="R163" s="604">
        <f>'CADASTRO V-T e ISS'!M163</f>
        <v>0</v>
      </c>
      <c r="S163" s="604">
        <f>'CADASTRO V-T e ISS'!N163</f>
        <v>0</v>
      </c>
      <c r="T163" s="604">
        <f>'CADASTRO V-T e ISS'!O163</f>
        <v>0</v>
      </c>
      <c r="U163" s="608">
        <f t="shared" si="16"/>
        <v>24992.082920000004</v>
      </c>
      <c r="V163" s="608">
        <f t="shared" si="17"/>
        <v>499.84165840000009</v>
      </c>
      <c r="W163" s="608">
        <f t="shared" si="18"/>
        <v>25491.924578400005</v>
      </c>
      <c r="X163" s="608">
        <f t="shared" si="19"/>
        <v>611806.18988160009</v>
      </c>
    </row>
    <row r="164" spans="1:24">
      <c r="A164" s="604">
        <f>'CADASTRO V-T e ISS'!A164</f>
        <v>159</v>
      </c>
      <c r="B164" s="605" t="str">
        <f>'CADASTRO V-T e ISS'!B164</f>
        <v>Santana do Acaraú</v>
      </c>
      <c r="C164" s="606">
        <f>IF('CADASTRO V-T e ISS'!C164="SIM",'CADASTRO V-T e ISS'!D164*'CADASTRO V-T e ISS'!E164*'CADASTRO V-T e ISS'!F164,0)</f>
        <v>0</v>
      </c>
      <c r="D164" s="607">
        <f>'CADASTRO V-T e ISS'!G164</f>
        <v>0</v>
      </c>
      <c r="E164" s="621">
        <f>(('VALOR POSTOS MÊS '!E40+('VALOR POSTOS MÊS '!E48+'VALOR POSTOS MÊS '!E62+(MAX(0,$C164-0.06*'VALOR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'!$D$149-$D164)</f>
        <v>8428.8640036363649</v>
      </c>
      <c r="F164" s="621">
        <f>(('VALOR POSTOS MÊS '!F40+('VALOR POSTOS MÊS '!F48+'VALOR POSTOS MÊS '!F62+(MAX(0,$C164-0.06*'VALOR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'!$D$149-$D164)</f>
        <v>8281.6094581818197</v>
      </c>
      <c r="G164" s="621">
        <f>(('VALOR POSTOS MÊS '!G40+('VALOR POSTOS MÊS '!G48+'VALOR POSTOS MÊS '!G62+(MAX(0,$C164-0.06*'VALOR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'!$D$149-$D164)</f>
        <v>10267.560367272728</v>
      </c>
      <c r="H164" s="621">
        <f>(('VALOR POSTOS MÊS '!H40+('VALOR POSTOS MÊS '!H48+'VALOR POSTOS MÊS '!H62+(MAX(0,$C164-0.06*'VALOR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'!$D$149-$D164)</f>
        <v>12184.771276363639</v>
      </c>
      <c r="I164" s="621">
        <f>(('VALOR POSTOS MÊS '!I40+('VALOR POSTOS MÊS '!I48+'VALOR POSTOS MÊS '!I62+(MAX(0,$C164-0.06*'VALOR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'!$D$149-$D164)</f>
        <v>15820.113094545455</v>
      </c>
      <c r="J164" s="621">
        <f>(('VALOR POSTOS MÊS '!J40+('VALOR POSTOS MÊS '!J48+'VALOR POSTOS MÊS '!J62+(MAX(0,$C164-0.06*'VALOR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'!$D$149-$D164)</f>
        <v>19964.125821818187</v>
      </c>
      <c r="K164" s="621">
        <f>(('VALOR POSTOS MÊS '!K40+('VALOR POSTOS MÊS '!K48+'VALOR POSTOS MÊS '!K62+(MAX(0,$C164-0.06*'VALOR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'!$D$149-$D164)</f>
        <v>10555.705821818183</v>
      </c>
      <c r="L164" s="621">
        <f>(('VALOR POSTOS MÊS '!L40+('VALOR POSTOS MÊS '!L48+'VALOR POSTOS MÊS '!L62+(MAX(0,$C164-0.06*'VALOR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'!$D$149-$D164)</f>
        <v>10285.696730909092</v>
      </c>
      <c r="M164" s="604">
        <f>'CADASTRO V-T e ISS'!H164</f>
        <v>1</v>
      </c>
      <c r="N164" s="604">
        <f>'CADASTRO V-T e ISS'!I164</f>
        <v>1</v>
      </c>
      <c r="O164" s="604">
        <f>'CADASTRO V-T e ISS'!J164</f>
        <v>0</v>
      </c>
      <c r="P164" s="604">
        <f>'CADASTRO V-T e ISS'!K164</f>
        <v>0</v>
      </c>
      <c r="Q164" s="604">
        <f>'CADASTRO V-T e ISS'!L164</f>
        <v>0</v>
      </c>
      <c r="R164" s="604">
        <f>'CADASTRO V-T e ISS'!M164</f>
        <v>0</v>
      </c>
      <c r="S164" s="604">
        <f>'CADASTRO V-T e ISS'!N164</f>
        <v>0</v>
      </c>
      <c r="T164" s="604">
        <f>'CADASTRO V-T e ISS'!O164</f>
        <v>0</v>
      </c>
      <c r="U164" s="608">
        <f t="shared" si="16"/>
        <v>16710.473461818183</v>
      </c>
      <c r="V164" s="608">
        <f t="shared" si="17"/>
        <v>334.20946923636365</v>
      </c>
      <c r="W164" s="608">
        <f t="shared" si="18"/>
        <v>17044.682931054547</v>
      </c>
      <c r="X164" s="608">
        <f t="shared" si="19"/>
        <v>409072.39034530916</v>
      </c>
    </row>
    <row r="165" spans="1:24">
      <c r="A165" s="604">
        <f>'CADASTRO V-T e ISS'!A165</f>
        <v>160</v>
      </c>
      <c r="B165" s="605" t="str">
        <f>'CADASTRO V-T e ISS'!B165</f>
        <v>Santana do Cariri</v>
      </c>
      <c r="C165" s="606">
        <f>IF('CADASTRO V-T e ISS'!C165="SIM",'CADASTRO V-T e ISS'!D165*'CADASTRO V-T e ISS'!E165*'CADASTRO V-T e ISS'!F165,0)</f>
        <v>0</v>
      </c>
      <c r="D165" s="607">
        <f>'CADASTRO V-T e ISS'!G165</f>
        <v>0</v>
      </c>
      <c r="E165" s="621">
        <f>(('VALOR POSTOS MÊS '!E40+('VALOR POSTOS MÊS '!E48+'VALOR POSTOS MÊS '!E62+(MAX(0,$C165-0.06*'VALOR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'!$D$149-$D165)</f>
        <v>8428.8640036363649</v>
      </c>
      <c r="F165" s="621">
        <f>(('VALOR POSTOS MÊS '!F40+('VALOR POSTOS MÊS '!F48+'VALOR POSTOS MÊS '!F62+(MAX(0,$C165-0.06*'VALOR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'!$D$149-$D165)</f>
        <v>8281.6094581818197</v>
      </c>
      <c r="G165" s="621">
        <f>(('VALOR POSTOS MÊS '!G40+('VALOR POSTOS MÊS '!G48+'VALOR POSTOS MÊS '!G62+(MAX(0,$C165-0.06*'VALOR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'!$D$149-$D165)</f>
        <v>10267.560367272728</v>
      </c>
      <c r="H165" s="621">
        <f>(('VALOR POSTOS MÊS '!H40+('VALOR POSTOS MÊS '!H48+'VALOR POSTOS MÊS '!H62+(MAX(0,$C165-0.06*'VALOR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'!$D$149-$D165)</f>
        <v>12184.771276363639</v>
      </c>
      <c r="I165" s="621">
        <f>(('VALOR POSTOS MÊS '!I40+('VALOR POSTOS MÊS '!I48+'VALOR POSTOS MÊS '!I62+(MAX(0,$C165-0.06*'VALOR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'!$D$149-$D165)</f>
        <v>15820.113094545455</v>
      </c>
      <c r="J165" s="621">
        <f>(('VALOR POSTOS MÊS '!J40+('VALOR POSTOS MÊS '!J48+'VALOR POSTOS MÊS '!J62+(MAX(0,$C165-0.06*'VALOR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'!$D$149-$D165)</f>
        <v>19964.125821818187</v>
      </c>
      <c r="K165" s="621">
        <f>(('VALOR POSTOS MÊS '!K40+('VALOR POSTOS MÊS '!K48+'VALOR POSTOS MÊS '!K62+(MAX(0,$C165-0.06*'VALOR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'!$D$149-$D165)</f>
        <v>10555.705821818183</v>
      </c>
      <c r="L165" s="621">
        <f>(('VALOR POSTOS MÊS '!L40+('VALOR POSTOS MÊS '!L48+'VALOR POSTOS MÊS '!L62+(MAX(0,$C165-0.06*'VALOR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'!$D$149-$D165)</f>
        <v>10285.696730909092</v>
      </c>
      <c r="M165" s="604">
        <f>'CADASTRO V-T e ISS'!H165</f>
        <v>0</v>
      </c>
      <c r="N165" s="604">
        <f>'CADASTRO V-T e ISS'!I165</f>
        <v>0</v>
      </c>
      <c r="O165" s="604">
        <f>'CADASTRO V-T e ISS'!J165</f>
        <v>0</v>
      </c>
      <c r="P165" s="604">
        <f>'CADASTRO V-T e ISS'!K165</f>
        <v>0</v>
      </c>
      <c r="Q165" s="604">
        <f>'CADASTRO V-T e ISS'!L165</f>
        <v>0</v>
      </c>
      <c r="R165" s="604">
        <f>'CADASTRO V-T e ISS'!M165</f>
        <v>0</v>
      </c>
      <c r="S165" s="604">
        <f>'CADASTRO V-T e ISS'!N165</f>
        <v>0</v>
      </c>
      <c r="T165" s="604">
        <f>'CADASTRO V-T e ISS'!O165</f>
        <v>0</v>
      </c>
      <c r="U165" s="608">
        <f t="shared" si="16"/>
        <v>0</v>
      </c>
      <c r="V165" s="608">
        <f t="shared" si="17"/>
        <v>0</v>
      </c>
      <c r="W165" s="608">
        <f t="shared" si="18"/>
        <v>0</v>
      </c>
      <c r="X165" s="608">
        <f t="shared" si="19"/>
        <v>0</v>
      </c>
    </row>
    <row r="166" spans="1:24">
      <c r="A166" s="604">
        <f>'CADASTRO V-T e ISS'!A166</f>
        <v>161</v>
      </c>
      <c r="B166" s="605" t="str">
        <f>'CADASTRO V-T e ISS'!B166</f>
        <v>São Benedito</v>
      </c>
      <c r="C166" s="606">
        <f>IF('CADASTRO V-T e ISS'!C166="SIM",'CADASTRO V-T e ISS'!D166*'CADASTRO V-T e ISS'!E166*'CADASTRO V-T e ISS'!F166,0)</f>
        <v>0</v>
      </c>
      <c r="D166" s="607">
        <f>'CADASTRO V-T e ISS'!G166</f>
        <v>0</v>
      </c>
      <c r="E166" s="621">
        <f>(('VALOR POSTOS MÊS '!E40+('VALOR POSTOS MÊS '!E48+'VALOR POSTOS MÊS '!E62+(MAX(0,$C166-0.06*'VALOR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'!$D$149-$D166)</f>
        <v>8428.8640036363649</v>
      </c>
      <c r="F166" s="621">
        <f>(('VALOR POSTOS MÊS '!F40+('VALOR POSTOS MÊS '!F48+'VALOR POSTOS MÊS '!F62+(MAX(0,$C166-0.06*'VALOR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'!$D$149-$D166)</f>
        <v>8281.6094581818197</v>
      </c>
      <c r="G166" s="621">
        <f>(('VALOR POSTOS MÊS '!G40+('VALOR POSTOS MÊS '!G48+'VALOR POSTOS MÊS '!G62+(MAX(0,$C166-0.06*'VALOR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'!$D$149-$D166)</f>
        <v>10267.560367272728</v>
      </c>
      <c r="H166" s="621">
        <f>(('VALOR POSTOS MÊS '!H40+('VALOR POSTOS MÊS '!H48+'VALOR POSTOS MÊS '!H62+(MAX(0,$C166-0.06*'VALOR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'!$D$149-$D166)</f>
        <v>12184.771276363639</v>
      </c>
      <c r="I166" s="621">
        <f>(('VALOR POSTOS MÊS '!I40+('VALOR POSTOS MÊS '!I48+'VALOR POSTOS MÊS '!I62+(MAX(0,$C166-0.06*'VALOR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'!$D$149-$D166)</f>
        <v>15820.113094545455</v>
      </c>
      <c r="J166" s="621">
        <f>(('VALOR POSTOS MÊS '!J40+('VALOR POSTOS MÊS '!J48+'VALOR POSTOS MÊS '!J62+(MAX(0,$C166-0.06*'VALOR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'!$D$149-$D166)</f>
        <v>19964.125821818187</v>
      </c>
      <c r="K166" s="621">
        <f>(('VALOR POSTOS MÊS '!K40+('VALOR POSTOS MÊS '!K48+'VALOR POSTOS MÊS '!K62+(MAX(0,$C166-0.06*'VALOR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'!$D$149-$D166)</f>
        <v>10555.705821818183</v>
      </c>
      <c r="L166" s="621">
        <f>(('VALOR POSTOS MÊS '!L40+('VALOR POSTOS MÊS '!L48+'VALOR POSTOS MÊS '!L62+(MAX(0,$C166-0.06*'VALOR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'!$D$149-$D166)</f>
        <v>10285.696730909092</v>
      </c>
      <c r="M166" s="604">
        <f>'CADASTRO V-T e ISS'!H166</f>
        <v>1</v>
      </c>
      <c r="N166" s="604">
        <f>'CADASTRO V-T e ISS'!I166</f>
        <v>2</v>
      </c>
      <c r="O166" s="604">
        <f>'CADASTRO V-T e ISS'!J166</f>
        <v>0</v>
      </c>
      <c r="P166" s="604">
        <f>'CADASTRO V-T e ISS'!K166</f>
        <v>0</v>
      </c>
      <c r="Q166" s="604">
        <f>'CADASTRO V-T e ISS'!L166</f>
        <v>0</v>
      </c>
      <c r="R166" s="604">
        <f>'CADASTRO V-T e ISS'!M166</f>
        <v>0</v>
      </c>
      <c r="S166" s="604">
        <f>'CADASTRO V-T e ISS'!N166</f>
        <v>0</v>
      </c>
      <c r="T166" s="604">
        <f>'CADASTRO V-T e ISS'!O166</f>
        <v>0</v>
      </c>
      <c r="U166" s="608">
        <f t="shared" ref="U166:U189" si="20">SUMPRODUCT(E166:L166,M166:T166)</f>
        <v>24992.082920000004</v>
      </c>
      <c r="V166" s="608">
        <f t="shared" ref="V166:V189" si="21">U166*0.02</f>
        <v>499.84165840000009</v>
      </c>
      <c r="W166" s="608">
        <f t="shared" ref="W166:W189" si="22">U166+V166</f>
        <v>25491.924578400005</v>
      </c>
      <c r="X166" s="608">
        <f t="shared" ref="X166:X189" si="23">W166*24</f>
        <v>611806.18988160009</v>
      </c>
    </row>
    <row r="167" spans="1:24">
      <c r="A167" s="604">
        <f>'CADASTRO V-T e ISS'!A167</f>
        <v>162</v>
      </c>
      <c r="B167" s="605" t="str">
        <f>'CADASTRO V-T e ISS'!B167</f>
        <v>São Gonçalo do Amarante</v>
      </c>
      <c r="C167" s="606">
        <f>IF('CADASTRO V-T e ISS'!C167="SIM",'CADASTRO V-T e ISS'!D167*'CADASTRO V-T e ISS'!E167*'CADASTRO V-T e ISS'!F167,0)</f>
        <v>0</v>
      </c>
      <c r="D167" s="607">
        <f>'CADASTRO V-T e ISS'!G167</f>
        <v>0</v>
      </c>
      <c r="E167" s="621">
        <f>(('VALOR POSTOS MÊS '!E40+('VALOR POSTOS MÊS '!E48+'VALOR POSTOS MÊS '!E62+(MAX(0,$C167-0.06*'VALOR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'!$D$149-$D167)</f>
        <v>8428.8640036363649</v>
      </c>
      <c r="F167" s="621">
        <f>(('VALOR POSTOS MÊS '!F40+('VALOR POSTOS MÊS '!F48+'VALOR POSTOS MÊS '!F62+(MAX(0,$C167-0.06*'VALOR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'!$D$149-$D167)</f>
        <v>8281.6094581818197</v>
      </c>
      <c r="G167" s="621">
        <f>(('VALOR POSTOS MÊS '!G40+('VALOR POSTOS MÊS '!G48+'VALOR POSTOS MÊS '!G62+(MAX(0,$C167-0.06*'VALOR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'!$D$149-$D167)</f>
        <v>10267.560367272728</v>
      </c>
      <c r="H167" s="621">
        <f>(('VALOR POSTOS MÊS '!H40+('VALOR POSTOS MÊS '!H48+'VALOR POSTOS MÊS '!H62+(MAX(0,$C167-0.06*'VALOR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'!$D$149-$D167)</f>
        <v>12184.771276363639</v>
      </c>
      <c r="I167" s="621">
        <f>(('VALOR POSTOS MÊS '!I40+('VALOR POSTOS MÊS '!I48+'VALOR POSTOS MÊS '!I62+(MAX(0,$C167-0.06*'VALOR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'!$D$149-$D167)</f>
        <v>15820.113094545455</v>
      </c>
      <c r="J167" s="621">
        <f>(('VALOR POSTOS MÊS '!J40+('VALOR POSTOS MÊS '!J48+'VALOR POSTOS MÊS '!J62+(MAX(0,$C167-0.06*'VALOR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'!$D$149-$D167)</f>
        <v>19964.125821818187</v>
      </c>
      <c r="K167" s="621">
        <f>(('VALOR POSTOS MÊS '!K40+('VALOR POSTOS MÊS '!K48+'VALOR POSTOS MÊS '!K62+(MAX(0,$C167-0.06*'VALOR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'!$D$149-$D167)</f>
        <v>10555.705821818183</v>
      </c>
      <c r="L167" s="621">
        <f>(('VALOR POSTOS MÊS '!L40+('VALOR POSTOS MÊS '!L48+'VALOR POSTOS MÊS '!L62+(MAX(0,$C167-0.06*'VALOR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'!$D$149-$D167)</f>
        <v>10285.696730909092</v>
      </c>
      <c r="M167" s="604">
        <f>'CADASTRO V-T e ISS'!H167</f>
        <v>1</v>
      </c>
      <c r="N167" s="604">
        <f>'CADASTRO V-T e ISS'!I167</f>
        <v>2</v>
      </c>
      <c r="O167" s="604">
        <f>'CADASTRO V-T e ISS'!J167</f>
        <v>0</v>
      </c>
      <c r="P167" s="604">
        <f>'CADASTRO V-T e ISS'!K167</f>
        <v>0</v>
      </c>
      <c r="Q167" s="604">
        <f>'CADASTRO V-T e ISS'!L167</f>
        <v>0</v>
      </c>
      <c r="R167" s="604">
        <f>'CADASTRO V-T e ISS'!M167</f>
        <v>0</v>
      </c>
      <c r="S167" s="604">
        <f>'CADASTRO V-T e ISS'!N167</f>
        <v>0</v>
      </c>
      <c r="T167" s="604">
        <f>'CADASTRO V-T e ISS'!O167</f>
        <v>0</v>
      </c>
      <c r="U167" s="608">
        <f t="shared" si="20"/>
        <v>24992.082920000004</v>
      </c>
      <c r="V167" s="608">
        <f t="shared" si="21"/>
        <v>499.84165840000009</v>
      </c>
      <c r="W167" s="608">
        <f t="shared" si="22"/>
        <v>25491.924578400005</v>
      </c>
      <c r="X167" s="608">
        <f t="shared" si="23"/>
        <v>611806.18988160009</v>
      </c>
    </row>
    <row r="168" spans="1:24">
      <c r="A168" s="604">
        <f>'CADASTRO V-T e ISS'!A168</f>
        <v>163</v>
      </c>
      <c r="B168" s="605" t="str">
        <f>'CADASTRO V-T e ISS'!B168</f>
        <v>São João do Jaguaribe</v>
      </c>
      <c r="C168" s="606">
        <f>IF('CADASTRO V-T e ISS'!C168="SIM",'CADASTRO V-T e ISS'!D168*'CADASTRO V-T e ISS'!E168*'CADASTRO V-T e ISS'!F168,0)</f>
        <v>0</v>
      </c>
      <c r="D168" s="607">
        <f>'CADASTRO V-T e ISS'!G168</f>
        <v>0</v>
      </c>
      <c r="E168" s="621">
        <f>(('VALOR POSTOS MÊS '!E40+('VALOR POSTOS MÊS '!E48+'VALOR POSTOS MÊS '!E62+(MAX(0,$C168-0.06*'VALOR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'!$D$149-$D168)</f>
        <v>8428.8640036363649</v>
      </c>
      <c r="F168" s="621">
        <f>(('VALOR POSTOS MÊS '!F40+('VALOR POSTOS MÊS '!F48+'VALOR POSTOS MÊS '!F62+(MAX(0,$C168-0.06*'VALOR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'!$D$149-$D168)</f>
        <v>8281.6094581818197</v>
      </c>
      <c r="G168" s="621">
        <f>(('VALOR POSTOS MÊS '!G40+('VALOR POSTOS MÊS '!G48+'VALOR POSTOS MÊS '!G62+(MAX(0,$C168-0.06*'VALOR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'!$D$149-$D168)</f>
        <v>10267.560367272728</v>
      </c>
      <c r="H168" s="621">
        <f>(('VALOR POSTOS MÊS '!H40+('VALOR POSTOS MÊS '!H48+'VALOR POSTOS MÊS '!H62+(MAX(0,$C168-0.06*'VALOR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'!$D$149-$D168)</f>
        <v>12184.771276363639</v>
      </c>
      <c r="I168" s="621">
        <f>(('VALOR POSTOS MÊS '!I40+('VALOR POSTOS MÊS '!I48+'VALOR POSTOS MÊS '!I62+(MAX(0,$C168-0.06*'VALOR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'!$D$149-$D168)</f>
        <v>15820.113094545455</v>
      </c>
      <c r="J168" s="621">
        <f>(('VALOR POSTOS MÊS '!J40+('VALOR POSTOS MÊS '!J48+'VALOR POSTOS MÊS '!J62+(MAX(0,$C168-0.06*'VALOR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'!$D$149-$D168)</f>
        <v>19964.125821818187</v>
      </c>
      <c r="K168" s="621">
        <f>(('VALOR POSTOS MÊS '!K40+('VALOR POSTOS MÊS '!K48+'VALOR POSTOS MÊS '!K62+(MAX(0,$C168-0.06*'VALOR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'!$D$149-$D168)</f>
        <v>10555.705821818183</v>
      </c>
      <c r="L168" s="621">
        <f>(('VALOR POSTOS MÊS '!L40+('VALOR POSTOS MÊS '!L48+'VALOR POSTOS MÊS '!L62+(MAX(0,$C168-0.06*'VALOR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'!$D$149-$D168)</f>
        <v>10285.696730909092</v>
      </c>
      <c r="M168" s="604">
        <f>'CADASTRO V-T e ISS'!H168</f>
        <v>0</v>
      </c>
      <c r="N168" s="604">
        <f>'CADASTRO V-T e ISS'!I168</f>
        <v>0</v>
      </c>
      <c r="O168" s="604">
        <f>'CADASTRO V-T e ISS'!J168</f>
        <v>0</v>
      </c>
      <c r="P168" s="604">
        <f>'CADASTRO V-T e ISS'!K168</f>
        <v>0</v>
      </c>
      <c r="Q168" s="604">
        <f>'CADASTRO V-T e ISS'!L168</f>
        <v>0</v>
      </c>
      <c r="R168" s="604">
        <f>'CADASTRO V-T e ISS'!M168</f>
        <v>0</v>
      </c>
      <c r="S168" s="604">
        <f>'CADASTRO V-T e ISS'!N168</f>
        <v>0</v>
      </c>
      <c r="T168" s="604">
        <f>'CADASTRO V-T e ISS'!O168</f>
        <v>0</v>
      </c>
      <c r="U168" s="608">
        <f t="shared" si="20"/>
        <v>0</v>
      </c>
      <c r="V168" s="608">
        <f t="shared" si="21"/>
        <v>0</v>
      </c>
      <c r="W168" s="608">
        <f t="shared" si="22"/>
        <v>0</v>
      </c>
      <c r="X168" s="608">
        <f t="shared" si="23"/>
        <v>0</v>
      </c>
    </row>
    <row r="169" spans="1:24">
      <c r="A169" s="604">
        <f>'CADASTRO V-T e ISS'!A169</f>
        <v>164</v>
      </c>
      <c r="B169" s="605" t="str">
        <f>'CADASTRO V-T e ISS'!B169</f>
        <v>São Luís do Curu</v>
      </c>
      <c r="C169" s="606">
        <f>IF('CADASTRO V-T e ISS'!C169="SIM",'CADASTRO V-T e ISS'!D169*'CADASTRO V-T e ISS'!E169*'CADASTRO V-T e ISS'!F169,0)</f>
        <v>0</v>
      </c>
      <c r="D169" s="607">
        <f>'CADASTRO V-T e ISS'!G169</f>
        <v>0</v>
      </c>
      <c r="E169" s="621">
        <f>(('VALOR POSTOS MÊS '!E40+('VALOR POSTOS MÊS '!E48+'VALOR POSTOS MÊS '!E62+(MAX(0,$C169-0.06*'VALOR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'!E62+(MAX(0,$C169-0.06*'VALOR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'!$D$149-$D169)</f>
        <v>8428.8640036363649</v>
      </c>
      <c r="F169" s="621">
        <f>(('VALOR POSTOS MÊS '!F40+('VALOR POSTOS MÊS '!F48+'VALOR POSTOS MÊS '!F62+(MAX(0,$C169-0.06*'VALOR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'!F62+(MAX(0,$C169-0.06*'VALOR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'!$D$149-$D169)</f>
        <v>8281.6094581818197</v>
      </c>
      <c r="G169" s="621">
        <f>(('VALOR POSTOS MÊS '!G40+('VALOR POSTOS MÊS '!G48+'VALOR POSTOS MÊS '!G62+(MAX(0,$C169-0.06*'VALOR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'!G62+(MAX(0,$C169-0.06*'VALOR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'!$D$149-$D169)</f>
        <v>10267.560367272728</v>
      </c>
      <c r="H169" s="621">
        <f>(('VALOR POSTOS MÊS '!H40+('VALOR POSTOS MÊS '!H48+'VALOR POSTOS MÊS '!H62+(MAX(0,$C169-0.06*'VALOR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'!H62+(MAX(0,$C169-0.06*'VALOR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'!$D$149-$D169)</f>
        <v>12184.771276363639</v>
      </c>
      <c r="I169" s="621">
        <f>(('VALOR POSTOS MÊS '!I40+('VALOR POSTOS MÊS '!I48+'VALOR POSTOS MÊS '!I62+(MAX(0,$C169-0.06*'VALOR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'!I62+(MAX(0,$C169-0.06*'VALOR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'!$D$149-$D169)</f>
        <v>15820.113094545455</v>
      </c>
      <c r="J169" s="621">
        <f>(('VALOR POSTOS MÊS '!J40+('VALOR POSTOS MÊS '!J48+'VALOR POSTOS MÊS '!J62+(MAX(0,$C169-0.06*'VALOR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'!J62+(MAX(0,$C169-0.06*'VALOR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'!$D$149-$D169)</f>
        <v>19964.125821818187</v>
      </c>
      <c r="K169" s="621">
        <f>(('VALOR POSTOS MÊS '!K40+('VALOR POSTOS MÊS '!K48+'VALOR POSTOS MÊS '!K62+(MAX(0,$C169-0.06*'VALOR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'!K62+(MAX(0,$C169-0.06*'VALOR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'!$D$149-$D169)</f>
        <v>10555.705821818183</v>
      </c>
      <c r="L169" s="621">
        <f>(('VALOR POSTOS MÊS '!L40+('VALOR POSTOS MÊS '!L48+'VALOR POSTOS MÊS '!L62+(MAX(0,$C169-0.06*'VALOR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'!L62+(MAX(0,$C169-0.06*'VALOR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'!$D$149-$D169)</f>
        <v>10285.696730909092</v>
      </c>
      <c r="M169" s="604">
        <f>'CADASTRO V-T e ISS'!H169</f>
        <v>0</v>
      </c>
      <c r="N169" s="604">
        <f>'CADASTRO V-T e ISS'!I169</f>
        <v>0</v>
      </c>
      <c r="O169" s="604">
        <f>'CADASTRO V-T e ISS'!J169</f>
        <v>0</v>
      </c>
      <c r="P169" s="604">
        <f>'CADASTRO V-T e ISS'!K169</f>
        <v>0</v>
      </c>
      <c r="Q169" s="604">
        <f>'CADASTRO V-T e ISS'!L169</f>
        <v>0</v>
      </c>
      <c r="R169" s="604">
        <f>'CADASTRO V-T e ISS'!M169</f>
        <v>0</v>
      </c>
      <c r="S169" s="604">
        <f>'CADASTRO V-T e ISS'!N169</f>
        <v>0</v>
      </c>
      <c r="T169" s="604">
        <f>'CADASTRO V-T e ISS'!O169</f>
        <v>0</v>
      </c>
      <c r="U169" s="608">
        <f t="shared" si="20"/>
        <v>0</v>
      </c>
      <c r="V169" s="608">
        <f t="shared" si="21"/>
        <v>0</v>
      </c>
      <c r="W169" s="608">
        <f t="shared" si="22"/>
        <v>0</v>
      </c>
      <c r="X169" s="608">
        <f t="shared" si="23"/>
        <v>0</v>
      </c>
    </row>
    <row r="170" spans="1:24">
      <c r="A170" s="604">
        <f>'CADASTRO V-T e ISS'!A170</f>
        <v>165</v>
      </c>
      <c r="B170" s="605" t="str">
        <f>'CADASTRO V-T e ISS'!B170</f>
        <v>Senador Pompeu</v>
      </c>
      <c r="C170" s="606">
        <f>IF('CADASTRO V-T e ISS'!C170="SIM",'CADASTRO V-T e ISS'!D170*'CADASTRO V-T e ISS'!E170*'CADASTRO V-T e ISS'!F170,0)</f>
        <v>0</v>
      </c>
      <c r="D170" s="607">
        <f>'CADASTRO V-T e ISS'!G170</f>
        <v>0</v>
      </c>
      <c r="E170" s="621">
        <f>(('VALOR POSTOS MÊS '!E40+('VALOR POSTOS MÊS '!E48+'VALOR POSTOS MÊS '!E62+(MAX(0,$C170-0.06*'VALOR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'!$D$149-$D170)</f>
        <v>8428.8640036363649</v>
      </c>
      <c r="F170" s="621">
        <f>(('VALOR POSTOS MÊS '!F40+('VALOR POSTOS MÊS '!F48+'VALOR POSTOS MÊS '!F62+(MAX(0,$C170-0.06*'VALOR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'!$D$149-$D170)</f>
        <v>8281.6094581818197</v>
      </c>
      <c r="G170" s="621">
        <f>(('VALOR POSTOS MÊS '!G40+('VALOR POSTOS MÊS '!G48+'VALOR POSTOS MÊS '!G62+(MAX(0,$C170-0.06*'VALOR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'!$D$149-$D170)</f>
        <v>10267.560367272728</v>
      </c>
      <c r="H170" s="621">
        <f>(('VALOR POSTOS MÊS '!H40+('VALOR POSTOS MÊS '!H48+'VALOR POSTOS MÊS '!H62+(MAX(0,$C170-0.06*'VALOR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'!$D$149-$D170)</f>
        <v>12184.771276363639</v>
      </c>
      <c r="I170" s="621">
        <f>(('VALOR POSTOS MÊS '!I40+('VALOR POSTOS MÊS '!I48+'VALOR POSTOS MÊS '!I62+(MAX(0,$C170-0.06*'VALOR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'!$D$149-$D170)</f>
        <v>15820.113094545455</v>
      </c>
      <c r="J170" s="621">
        <f>(('VALOR POSTOS MÊS '!J40+('VALOR POSTOS MÊS '!J48+'VALOR POSTOS MÊS '!J62+(MAX(0,$C170-0.06*'VALOR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'!$D$149-$D170)</f>
        <v>19964.125821818187</v>
      </c>
      <c r="K170" s="621">
        <f>(('VALOR POSTOS MÊS '!K40+('VALOR POSTOS MÊS '!K48+'VALOR POSTOS MÊS '!K62+(MAX(0,$C170-0.06*'VALOR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'!$D$149-$D170)</f>
        <v>10555.705821818183</v>
      </c>
      <c r="L170" s="621">
        <f>(('VALOR POSTOS MÊS '!L40+('VALOR POSTOS MÊS '!L48+'VALOR POSTOS MÊS '!L62+(MAX(0,$C170-0.06*'VALOR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'!$D$149-$D170)</f>
        <v>10285.696730909092</v>
      </c>
      <c r="M170" s="604">
        <f>'CADASTRO V-T e ISS'!H170</f>
        <v>1</v>
      </c>
      <c r="N170" s="604">
        <f>'CADASTRO V-T e ISS'!I170</f>
        <v>2</v>
      </c>
      <c r="O170" s="604">
        <f>'CADASTRO V-T e ISS'!J170</f>
        <v>0</v>
      </c>
      <c r="P170" s="604">
        <f>'CADASTRO V-T e ISS'!K170</f>
        <v>0</v>
      </c>
      <c r="Q170" s="604">
        <f>'CADASTRO V-T e ISS'!L170</f>
        <v>0</v>
      </c>
      <c r="R170" s="604">
        <f>'CADASTRO V-T e ISS'!M170</f>
        <v>0</v>
      </c>
      <c r="S170" s="604">
        <f>'CADASTRO V-T e ISS'!N170</f>
        <v>0</v>
      </c>
      <c r="T170" s="604">
        <f>'CADASTRO V-T e ISS'!O170</f>
        <v>0</v>
      </c>
      <c r="U170" s="608">
        <f t="shared" si="20"/>
        <v>24992.082920000004</v>
      </c>
      <c r="V170" s="608">
        <f t="shared" si="21"/>
        <v>499.84165840000009</v>
      </c>
      <c r="W170" s="608">
        <f t="shared" si="22"/>
        <v>25491.924578400005</v>
      </c>
      <c r="X170" s="608">
        <f t="shared" si="23"/>
        <v>611806.18988160009</v>
      </c>
    </row>
    <row r="171" spans="1:24">
      <c r="A171" s="604">
        <f>'CADASTRO V-T e ISS'!A171</f>
        <v>166</v>
      </c>
      <c r="B171" s="605" t="str">
        <f>'CADASTRO V-T e ISS'!B171</f>
        <v>Senador Sá</v>
      </c>
      <c r="C171" s="606">
        <f>IF('CADASTRO V-T e ISS'!C171="SIM",'CADASTRO V-T e ISS'!D171*'CADASTRO V-T e ISS'!E171*'CADASTRO V-T e ISS'!F171,0)</f>
        <v>0</v>
      </c>
      <c r="D171" s="607">
        <f>'CADASTRO V-T e ISS'!G171</f>
        <v>0</v>
      </c>
      <c r="E171" s="621">
        <f>(('VALOR POSTOS MÊS '!E40+('VALOR POSTOS MÊS '!E48+'VALOR POSTOS MÊS '!E62+(MAX(0,$C171-0.06*'VALOR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'!$D$149-$D171)</f>
        <v>8428.8640036363649</v>
      </c>
      <c r="F171" s="621">
        <f>(('VALOR POSTOS MÊS '!F40+('VALOR POSTOS MÊS '!F48+'VALOR POSTOS MÊS '!F62+(MAX(0,$C171-0.06*'VALOR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'!$D$149-$D171)</f>
        <v>8281.6094581818197</v>
      </c>
      <c r="G171" s="621">
        <f>(('VALOR POSTOS MÊS '!G40+('VALOR POSTOS MÊS '!G48+'VALOR POSTOS MÊS '!G62+(MAX(0,$C171-0.06*'VALOR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'!$D$149-$D171)</f>
        <v>10267.560367272728</v>
      </c>
      <c r="H171" s="621">
        <f>(('VALOR POSTOS MÊS '!H40+('VALOR POSTOS MÊS '!H48+'VALOR POSTOS MÊS '!H62+(MAX(0,$C171-0.06*'VALOR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'!$D$149-$D171)</f>
        <v>12184.771276363639</v>
      </c>
      <c r="I171" s="621">
        <f>(('VALOR POSTOS MÊS '!I40+('VALOR POSTOS MÊS '!I48+'VALOR POSTOS MÊS '!I62+(MAX(0,$C171-0.06*'VALOR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'!$D$149-$D171)</f>
        <v>15820.113094545455</v>
      </c>
      <c r="J171" s="621">
        <f>(('VALOR POSTOS MÊS '!J40+('VALOR POSTOS MÊS '!J48+'VALOR POSTOS MÊS '!J62+(MAX(0,$C171-0.06*'VALOR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'!$D$149-$D171)</f>
        <v>19964.125821818187</v>
      </c>
      <c r="K171" s="621">
        <f>(('VALOR POSTOS MÊS '!K40+('VALOR POSTOS MÊS '!K48+'VALOR POSTOS MÊS '!K62+(MAX(0,$C171-0.06*'VALOR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'!$D$149-$D171)</f>
        <v>10555.705821818183</v>
      </c>
      <c r="L171" s="621">
        <f>(('VALOR POSTOS MÊS '!L40+('VALOR POSTOS MÊS '!L48+'VALOR POSTOS MÊS '!L62+(MAX(0,$C171-0.06*'VALOR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'!$D$149-$D171)</f>
        <v>10285.696730909092</v>
      </c>
      <c r="M171" s="604">
        <f>'CADASTRO V-T e ISS'!H171</f>
        <v>0</v>
      </c>
      <c r="N171" s="604">
        <f>'CADASTRO V-T e ISS'!I171</f>
        <v>0</v>
      </c>
      <c r="O171" s="604">
        <f>'CADASTRO V-T e ISS'!J171</f>
        <v>0</v>
      </c>
      <c r="P171" s="604">
        <f>'CADASTRO V-T e ISS'!K171</f>
        <v>0</v>
      </c>
      <c r="Q171" s="604">
        <f>'CADASTRO V-T e ISS'!L171</f>
        <v>0</v>
      </c>
      <c r="R171" s="604">
        <f>'CADASTRO V-T e ISS'!M171</f>
        <v>0</v>
      </c>
      <c r="S171" s="604">
        <f>'CADASTRO V-T e ISS'!N171</f>
        <v>0</v>
      </c>
      <c r="T171" s="604">
        <f>'CADASTRO V-T e ISS'!O171</f>
        <v>0</v>
      </c>
      <c r="U171" s="608">
        <f t="shared" si="20"/>
        <v>0</v>
      </c>
      <c r="V171" s="608">
        <f t="shared" si="21"/>
        <v>0</v>
      </c>
      <c r="W171" s="608">
        <f t="shared" si="22"/>
        <v>0</v>
      </c>
      <c r="X171" s="608">
        <f t="shared" si="23"/>
        <v>0</v>
      </c>
    </row>
    <row r="172" spans="1:24">
      <c r="A172" s="604">
        <f>'CADASTRO V-T e ISS'!A172</f>
        <v>167</v>
      </c>
      <c r="B172" s="605" t="str">
        <f>'CADASTRO V-T e ISS'!B172</f>
        <v>Sobral</v>
      </c>
      <c r="C172" s="606">
        <f>IF('CADASTRO V-T e ISS'!C172="SIM",'CADASTRO V-T e ISS'!D172*'CADASTRO V-T e ISS'!E172*'CADASTRO V-T e ISS'!F172,0)</f>
        <v>0</v>
      </c>
      <c r="D172" s="607">
        <f>'CADASTRO V-T e ISS'!G172</f>
        <v>0</v>
      </c>
      <c r="E172" s="621">
        <f>(('VALOR POSTOS MÊS '!E40+('VALOR POSTOS MÊS '!E48+'VALOR POSTOS MÊS '!E62+(MAX(0,$C172-0.06*'VALOR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'!$D$149-$D172)</f>
        <v>8428.8640036363649</v>
      </c>
      <c r="F172" s="621">
        <f>(('VALOR POSTOS MÊS '!F40+('VALOR POSTOS MÊS '!F48+'VALOR POSTOS MÊS '!F62+(MAX(0,$C172-0.06*'VALOR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'!$D$149-$D172)</f>
        <v>8281.6094581818197</v>
      </c>
      <c r="G172" s="621">
        <f>(('VALOR POSTOS MÊS '!G40+('VALOR POSTOS MÊS '!G48+'VALOR POSTOS MÊS '!G62+(MAX(0,$C172-0.06*'VALOR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'!$D$149-$D172)</f>
        <v>10267.560367272728</v>
      </c>
      <c r="H172" s="621">
        <f>(('VALOR POSTOS MÊS '!H40+('VALOR POSTOS MÊS '!H48+'VALOR POSTOS MÊS '!H62+(MAX(0,$C172-0.06*'VALOR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'!$D$149-$D172)</f>
        <v>12184.771276363639</v>
      </c>
      <c r="I172" s="621">
        <f>(('VALOR POSTOS MÊS '!I40+('VALOR POSTOS MÊS '!I48+'VALOR POSTOS MÊS '!I62+(MAX(0,$C172-0.06*'VALOR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'!$D$149-$D172)</f>
        <v>15820.113094545455</v>
      </c>
      <c r="J172" s="621">
        <f>(('VALOR POSTOS MÊS '!J40+('VALOR POSTOS MÊS '!J48+'VALOR POSTOS MÊS '!J62+(MAX(0,$C172-0.06*'VALOR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'!$D$149-$D172)</f>
        <v>19964.125821818187</v>
      </c>
      <c r="K172" s="621">
        <f>(('VALOR POSTOS MÊS '!K40+('VALOR POSTOS MÊS '!K48+'VALOR POSTOS MÊS '!K62+(MAX(0,$C172-0.06*'VALOR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'!$D$149-$D172)</f>
        <v>10555.705821818183</v>
      </c>
      <c r="L172" s="621">
        <f>(('VALOR POSTOS MÊS '!L40+('VALOR POSTOS MÊS '!L48+'VALOR POSTOS MÊS '!L62+(MAX(0,$C172-0.06*'VALOR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'!$D$149-$D172)</f>
        <v>10285.696730909092</v>
      </c>
      <c r="M172" s="604">
        <f>'CADASTRO V-T e ISS'!H172</f>
        <v>4</v>
      </c>
      <c r="N172" s="604">
        <f>'CADASTRO V-T e ISS'!I172</f>
        <v>10</v>
      </c>
      <c r="O172" s="604">
        <f>'CADASTRO V-T e ISS'!J172</f>
        <v>1</v>
      </c>
      <c r="P172" s="604">
        <f>'CADASTRO V-T e ISS'!K172</f>
        <v>5</v>
      </c>
      <c r="Q172" s="604">
        <f>'CADASTRO V-T e ISS'!L172</f>
        <v>1</v>
      </c>
      <c r="R172" s="604">
        <f>'CADASTRO V-T e ISS'!M172</f>
        <v>0</v>
      </c>
      <c r="S172" s="604">
        <f>'CADASTRO V-T e ISS'!N172</f>
        <v>1</v>
      </c>
      <c r="T172" s="604">
        <f>'CADASTRO V-T e ISS'!O172</f>
        <v>0</v>
      </c>
      <c r="U172" s="608">
        <f t="shared" si="20"/>
        <v>214098.78626181823</v>
      </c>
      <c r="V172" s="608">
        <f t="shared" si="21"/>
        <v>4281.9757252363643</v>
      </c>
      <c r="W172" s="608">
        <f t="shared" si="22"/>
        <v>218380.7619870546</v>
      </c>
      <c r="X172" s="608">
        <f t="shared" si="23"/>
        <v>5241138.2876893105</v>
      </c>
    </row>
    <row r="173" spans="1:24">
      <c r="A173" s="604">
        <f>'CADASTRO V-T e ISS'!A173</f>
        <v>168</v>
      </c>
      <c r="B173" s="605" t="str">
        <f>'CADASTRO V-T e ISS'!B173</f>
        <v>Solonópole</v>
      </c>
      <c r="C173" s="606">
        <f>IF('CADASTRO V-T e ISS'!C173="SIM",'CADASTRO V-T e ISS'!D173*'CADASTRO V-T e ISS'!E173*'CADASTRO V-T e ISS'!F173,0)</f>
        <v>0</v>
      </c>
      <c r="D173" s="607">
        <f>'CADASTRO V-T e ISS'!G173</f>
        <v>0</v>
      </c>
      <c r="E173" s="621">
        <f>(('VALOR POSTOS MÊS '!E40+('VALOR POSTOS MÊS '!E48+'VALOR POSTOS MÊS '!E62+(MAX(0,$C173-0.06*'VALOR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'!$D$149-$D173)</f>
        <v>8428.8640036363649</v>
      </c>
      <c r="F173" s="621">
        <f>(('VALOR POSTOS MÊS '!F40+('VALOR POSTOS MÊS '!F48+'VALOR POSTOS MÊS '!F62+(MAX(0,$C173-0.06*'VALOR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'!$D$149-$D173)</f>
        <v>8281.6094581818197</v>
      </c>
      <c r="G173" s="621">
        <f>(('VALOR POSTOS MÊS '!G40+('VALOR POSTOS MÊS '!G48+'VALOR POSTOS MÊS '!G62+(MAX(0,$C173-0.06*'VALOR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'!$D$149-$D173)</f>
        <v>10267.560367272728</v>
      </c>
      <c r="H173" s="621">
        <f>(('VALOR POSTOS MÊS '!H40+('VALOR POSTOS MÊS '!H48+'VALOR POSTOS MÊS '!H62+(MAX(0,$C173-0.06*'VALOR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'!$D$149-$D173)</f>
        <v>12184.771276363639</v>
      </c>
      <c r="I173" s="621">
        <f>(('VALOR POSTOS MÊS '!I40+('VALOR POSTOS MÊS '!I48+'VALOR POSTOS MÊS '!I62+(MAX(0,$C173-0.06*'VALOR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'!$D$149-$D173)</f>
        <v>15820.113094545455</v>
      </c>
      <c r="J173" s="621">
        <f>(('VALOR POSTOS MÊS '!J40+('VALOR POSTOS MÊS '!J48+'VALOR POSTOS MÊS '!J62+(MAX(0,$C173-0.06*'VALOR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'!$D$149-$D173)</f>
        <v>19964.125821818187</v>
      </c>
      <c r="K173" s="621">
        <f>(('VALOR POSTOS MÊS '!K40+('VALOR POSTOS MÊS '!K48+'VALOR POSTOS MÊS '!K62+(MAX(0,$C173-0.06*'VALOR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'!$D$149-$D173)</f>
        <v>10555.705821818183</v>
      </c>
      <c r="L173" s="621">
        <f>(('VALOR POSTOS MÊS '!L40+('VALOR POSTOS MÊS '!L48+'VALOR POSTOS MÊS '!L62+(MAX(0,$C173-0.06*'VALOR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'!$D$149-$D173)</f>
        <v>10285.696730909092</v>
      </c>
      <c r="M173" s="604">
        <f>'CADASTRO V-T e ISS'!H173</f>
        <v>1</v>
      </c>
      <c r="N173" s="604">
        <f>'CADASTRO V-T e ISS'!I173</f>
        <v>1</v>
      </c>
      <c r="O173" s="604">
        <f>'CADASTRO V-T e ISS'!J173</f>
        <v>0</v>
      </c>
      <c r="P173" s="604">
        <f>'CADASTRO V-T e ISS'!K173</f>
        <v>0</v>
      </c>
      <c r="Q173" s="604">
        <f>'CADASTRO V-T e ISS'!L173</f>
        <v>0</v>
      </c>
      <c r="R173" s="604">
        <f>'CADASTRO V-T e ISS'!M173</f>
        <v>0</v>
      </c>
      <c r="S173" s="604">
        <f>'CADASTRO V-T e ISS'!N173</f>
        <v>0</v>
      </c>
      <c r="T173" s="604">
        <f>'CADASTRO V-T e ISS'!O173</f>
        <v>0</v>
      </c>
      <c r="U173" s="608">
        <f t="shared" si="20"/>
        <v>16710.473461818183</v>
      </c>
      <c r="V173" s="608">
        <f t="shared" si="21"/>
        <v>334.20946923636365</v>
      </c>
      <c r="W173" s="608">
        <f t="shared" si="22"/>
        <v>17044.682931054547</v>
      </c>
      <c r="X173" s="608">
        <f t="shared" si="23"/>
        <v>409072.39034530916</v>
      </c>
    </row>
    <row r="174" spans="1:24">
      <c r="A174" s="604">
        <f>'CADASTRO V-T e ISS'!A174</f>
        <v>169</v>
      </c>
      <c r="B174" s="605" t="str">
        <f>'CADASTRO V-T e ISS'!B174</f>
        <v>Tabuleiro do Norte</v>
      </c>
      <c r="C174" s="606">
        <f>IF('CADASTRO V-T e ISS'!C174="SIM",'CADASTRO V-T e ISS'!D174*'CADASTRO V-T e ISS'!E174*'CADASTRO V-T e ISS'!F174,0)</f>
        <v>0</v>
      </c>
      <c r="D174" s="607">
        <f>'CADASTRO V-T e ISS'!G174</f>
        <v>0</v>
      </c>
      <c r="E174" s="621">
        <f>(('VALOR POSTOS MÊS '!E40+('VALOR POSTOS MÊS '!E48+'VALOR POSTOS MÊS '!E62+(MAX(0,$C174-0.06*'VALOR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'!$D$149-$D174)</f>
        <v>8428.8640036363649</v>
      </c>
      <c r="F174" s="621">
        <f>(('VALOR POSTOS MÊS '!F40+('VALOR POSTOS MÊS '!F48+'VALOR POSTOS MÊS '!F62+(MAX(0,$C174-0.06*'VALOR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'!$D$149-$D174)</f>
        <v>8281.6094581818197</v>
      </c>
      <c r="G174" s="621">
        <f>(('VALOR POSTOS MÊS '!G40+('VALOR POSTOS MÊS '!G48+'VALOR POSTOS MÊS '!G62+(MAX(0,$C174-0.06*'VALOR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'!$D$149-$D174)</f>
        <v>10267.560367272728</v>
      </c>
      <c r="H174" s="621">
        <f>(('VALOR POSTOS MÊS '!H40+('VALOR POSTOS MÊS '!H48+'VALOR POSTOS MÊS '!H62+(MAX(0,$C174-0.06*'VALOR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'!$D$149-$D174)</f>
        <v>12184.771276363639</v>
      </c>
      <c r="I174" s="621">
        <f>(('VALOR POSTOS MÊS '!I40+('VALOR POSTOS MÊS '!I48+'VALOR POSTOS MÊS '!I62+(MAX(0,$C174-0.06*'VALOR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'!$D$149-$D174)</f>
        <v>15820.113094545455</v>
      </c>
      <c r="J174" s="621">
        <f>(('VALOR POSTOS MÊS '!J40+('VALOR POSTOS MÊS '!J48+'VALOR POSTOS MÊS '!J62+(MAX(0,$C174-0.06*'VALOR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'!$D$149-$D174)</f>
        <v>19964.125821818187</v>
      </c>
      <c r="K174" s="621">
        <f>(('VALOR POSTOS MÊS '!K40+('VALOR POSTOS MÊS '!K48+'VALOR POSTOS MÊS '!K62+(MAX(0,$C174-0.06*'VALOR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'!$D$149-$D174)</f>
        <v>10555.705821818183</v>
      </c>
      <c r="L174" s="621">
        <f>(('VALOR POSTOS MÊS '!L40+('VALOR POSTOS MÊS '!L48+'VALOR POSTOS MÊS '!L62+(MAX(0,$C174-0.06*'VALOR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'!$D$149-$D174)</f>
        <v>10285.696730909092</v>
      </c>
      <c r="M174" s="604">
        <f>'CADASTRO V-T e ISS'!H174</f>
        <v>1</v>
      </c>
      <c r="N174" s="604">
        <f>'CADASTRO V-T e ISS'!I174</f>
        <v>1</v>
      </c>
      <c r="O174" s="604">
        <f>'CADASTRO V-T e ISS'!J174</f>
        <v>0</v>
      </c>
      <c r="P174" s="604">
        <f>'CADASTRO V-T e ISS'!K174</f>
        <v>0</v>
      </c>
      <c r="Q174" s="604">
        <f>'CADASTRO V-T e ISS'!L174</f>
        <v>0</v>
      </c>
      <c r="R174" s="604">
        <f>'CADASTRO V-T e ISS'!M174</f>
        <v>0</v>
      </c>
      <c r="S174" s="604">
        <f>'CADASTRO V-T e ISS'!N174</f>
        <v>0</v>
      </c>
      <c r="T174" s="604">
        <f>'CADASTRO V-T e ISS'!O174</f>
        <v>0</v>
      </c>
      <c r="U174" s="608">
        <f t="shared" si="20"/>
        <v>16710.473461818183</v>
      </c>
      <c r="V174" s="608">
        <f t="shared" si="21"/>
        <v>334.20946923636365</v>
      </c>
      <c r="W174" s="608">
        <f t="shared" si="22"/>
        <v>17044.682931054547</v>
      </c>
      <c r="X174" s="608">
        <f t="shared" si="23"/>
        <v>409072.39034530916</v>
      </c>
    </row>
    <row r="175" spans="1:24">
      <c r="A175" s="604">
        <f>'CADASTRO V-T e ISS'!A175</f>
        <v>170</v>
      </c>
      <c r="B175" s="605" t="str">
        <f>'CADASTRO V-T e ISS'!B175</f>
        <v>Tamboril</v>
      </c>
      <c r="C175" s="606">
        <f>IF('CADASTRO V-T e ISS'!C175="SIM",'CADASTRO V-T e ISS'!D175*'CADASTRO V-T e ISS'!E175*'CADASTRO V-T e ISS'!F175,0)</f>
        <v>0</v>
      </c>
      <c r="D175" s="607">
        <f>'CADASTRO V-T e ISS'!G175</f>
        <v>0</v>
      </c>
      <c r="E175" s="621">
        <f>(('VALOR POSTOS MÊS '!E40+('VALOR POSTOS MÊS '!E48+'VALOR POSTOS MÊS '!E62+(MAX(0,$C175-0.06*'VALOR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'!$D$149-$D175)</f>
        <v>8428.8640036363649</v>
      </c>
      <c r="F175" s="621">
        <f>(('VALOR POSTOS MÊS '!F40+('VALOR POSTOS MÊS '!F48+'VALOR POSTOS MÊS '!F62+(MAX(0,$C175-0.06*'VALOR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'!$D$149-$D175)</f>
        <v>8281.6094581818197</v>
      </c>
      <c r="G175" s="621">
        <f>(('VALOR POSTOS MÊS '!G40+('VALOR POSTOS MÊS '!G48+'VALOR POSTOS MÊS '!G62+(MAX(0,$C175-0.06*'VALOR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'!$D$149-$D175)</f>
        <v>10267.560367272728</v>
      </c>
      <c r="H175" s="621">
        <f>(('VALOR POSTOS MÊS '!H40+('VALOR POSTOS MÊS '!H48+'VALOR POSTOS MÊS '!H62+(MAX(0,$C175-0.06*'VALOR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'!$D$149-$D175)</f>
        <v>12184.771276363639</v>
      </c>
      <c r="I175" s="621">
        <f>(('VALOR POSTOS MÊS '!I40+('VALOR POSTOS MÊS '!I48+'VALOR POSTOS MÊS '!I62+(MAX(0,$C175-0.06*'VALOR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'!$D$149-$D175)</f>
        <v>15820.113094545455</v>
      </c>
      <c r="J175" s="621">
        <f>(('VALOR POSTOS MÊS '!J40+('VALOR POSTOS MÊS '!J48+'VALOR POSTOS MÊS '!J62+(MAX(0,$C175-0.06*'VALOR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'!$D$149-$D175)</f>
        <v>19964.125821818187</v>
      </c>
      <c r="K175" s="621">
        <f>(('VALOR POSTOS MÊS '!K40+('VALOR POSTOS MÊS '!K48+'VALOR POSTOS MÊS '!K62+(MAX(0,$C175-0.06*'VALOR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'!$D$149-$D175)</f>
        <v>10555.705821818183</v>
      </c>
      <c r="L175" s="621">
        <f>(('VALOR POSTOS MÊS '!L40+('VALOR POSTOS MÊS '!L48+'VALOR POSTOS MÊS '!L62+(MAX(0,$C175-0.06*'VALOR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'!$D$149-$D175)</f>
        <v>10285.696730909092</v>
      </c>
      <c r="M175" s="604">
        <f>'CADASTRO V-T e ISS'!H175</f>
        <v>2</v>
      </c>
      <c r="N175" s="604">
        <f>'CADASTRO V-T e ISS'!I175</f>
        <v>1</v>
      </c>
      <c r="O175" s="604">
        <f>'CADASTRO V-T e ISS'!J175</f>
        <v>0</v>
      </c>
      <c r="P175" s="604">
        <f>'CADASTRO V-T e ISS'!K175</f>
        <v>0</v>
      </c>
      <c r="Q175" s="604">
        <f>'CADASTRO V-T e ISS'!L175</f>
        <v>0</v>
      </c>
      <c r="R175" s="604">
        <f>'CADASTRO V-T e ISS'!M175</f>
        <v>0</v>
      </c>
      <c r="S175" s="604">
        <f>'CADASTRO V-T e ISS'!N175</f>
        <v>0</v>
      </c>
      <c r="T175" s="604">
        <f>'CADASTRO V-T e ISS'!O175</f>
        <v>0</v>
      </c>
      <c r="U175" s="608">
        <f t="shared" si="20"/>
        <v>25139.337465454548</v>
      </c>
      <c r="V175" s="608">
        <f t="shared" si="21"/>
        <v>502.78674930909096</v>
      </c>
      <c r="W175" s="608">
        <f t="shared" si="22"/>
        <v>25642.12421476364</v>
      </c>
      <c r="X175" s="608">
        <f t="shared" si="23"/>
        <v>615410.9811543274</v>
      </c>
    </row>
    <row r="176" spans="1:24">
      <c r="A176" s="604">
        <f>'CADASTRO V-T e ISS'!A176</f>
        <v>171</v>
      </c>
      <c r="B176" s="605" t="str">
        <f>'CADASTRO V-T e ISS'!B176</f>
        <v>Tarrafas</v>
      </c>
      <c r="C176" s="606">
        <f>IF('CADASTRO V-T e ISS'!C176="SIM",'CADASTRO V-T e ISS'!D176*'CADASTRO V-T e ISS'!E176*'CADASTRO V-T e ISS'!F176,0)</f>
        <v>0</v>
      </c>
      <c r="D176" s="607">
        <f>'CADASTRO V-T e ISS'!G176</f>
        <v>0</v>
      </c>
      <c r="E176" s="621">
        <f>(('VALOR POSTOS MÊS '!E40+('VALOR POSTOS MÊS '!E48+'VALOR POSTOS MÊS '!E62+(MAX(0,$C176-0.06*'VALOR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'!$D$149-$D176)</f>
        <v>8428.8640036363649</v>
      </c>
      <c r="F176" s="621">
        <f>(('VALOR POSTOS MÊS '!F40+('VALOR POSTOS MÊS '!F48+'VALOR POSTOS MÊS '!F62+(MAX(0,$C176-0.06*'VALOR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'!$D$149-$D176)</f>
        <v>8281.6094581818197</v>
      </c>
      <c r="G176" s="621">
        <f>(('VALOR POSTOS MÊS '!G40+('VALOR POSTOS MÊS '!G48+'VALOR POSTOS MÊS '!G62+(MAX(0,$C176-0.06*'VALOR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'!$D$149-$D176)</f>
        <v>10267.560367272728</v>
      </c>
      <c r="H176" s="621">
        <f>(('VALOR POSTOS MÊS '!H40+('VALOR POSTOS MÊS '!H48+'VALOR POSTOS MÊS '!H62+(MAX(0,$C176-0.06*'VALOR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'!$D$149-$D176)</f>
        <v>12184.771276363639</v>
      </c>
      <c r="I176" s="621">
        <f>(('VALOR POSTOS MÊS '!I40+('VALOR POSTOS MÊS '!I48+'VALOR POSTOS MÊS '!I62+(MAX(0,$C176-0.06*'VALOR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'!$D$149-$D176)</f>
        <v>15820.113094545455</v>
      </c>
      <c r="J176" s="621">
        <f>(('VALOR POSTOS MÊS '!J40+('VALOR POSTOS MÊS '!J48+'VALOR POSTOS MÊS '!J62+(MAX(0,$C176-0.06*'VALOR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'!$D$149-$D176)</f>
        <v>19964.125821818187</v>
      </c>
      <c r="K176" s="621">
        <f>(('VALOR POSTOS MÊS '!K40+('VALOR POSTOS MÊS '!K48+'VALOR POSTOS MÊS '!K62+(MAX(0,$C176-0.06*'VALOR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'!$D$149-$D176)</f>
        <v>10555.705821818183</v>
      </c>
      <c r="L176" s="621">
        <f>(('VALOR POSTOS MÊS '!L40+('VALOR POSTOS MÊS '!L48+'VALOR POSTOS MÊS '!L62+(MAX(0,$C176-0.06*'VALOR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'!$D$149-$D176)</f>
        <v>10285.696730909092</v>
      </c>
      <c r="M176" s="604">
        <f>'CADASTRO V-T e ISS'!H176</f>
        <v>0</v>
      </c>
      <c r="N176" s="604">
        <f>'CADASTRO V-T e ISS'!I176</f>
        <v>0</v>
      </c>
      <c r="O176" s="604">
        <f>'CADASTRO V-T e ISS'!J176</f>
        <v>0</v>
      </c>
      <c r="P176" s="604">
        <f>'CADASTRO V-T e ISS'!K176</f>
        <v>0</v>
      </c>
      <c r="Q176" s="604">
        <f>'CADASTRO V-T e ISS'!L176</f>
        <v>0</v>
      </c>
      <c r="R176" s="604">
        <f>'CADASTRO V-T e ISS'!M176</f>
        <v>0</v>
      </c>
      <c r="S176" s="604">
        <f>'CADASTRO V-T e ISS'!N176</f>
        <v>0</v>
      </c>
      <c r="T176" s="604">
        <f>'CADASTRO V-T e ISS'!O176</f>
        <v>0</v>
      </c>
      <c r="U176" s="608">
        <f t="shared" si="20"/>
        <v>0</v>
      </c>
      <c r="V176" s="608">
        <f t="shared" si="21"/>
        <v>0</v>
      </c>
      <c r="W176" s="608">
        <f t="shared" si="22"/>
        <v>0</v>
      </c>
      <c r="X176" s="608">
        <f t="shared" si="23"/>
        <v>0</v>
      </c>
    </row>
    <row r="177" spans="1:24">
      <c r="A177" s="604">
        <f>'CADASTRO V-T e ISS'!A177</f>
        <v>172</v>
      </c>
      <c r="B177" s="605" t="str">
        <f>'CADASTRO V-T e ISS'!B177</f>
        <v>Tauá</v>
      </c>
      <c r="C177" s="606">
        <f>IF('CADASTRO V-T e ISS'!C177="SIM",'CADASTRO V-T e ISS'!D177*'CADASTRO V-T e ISS'!E177*'CADASTRO V-T e ISS'!F177,0)</f>
        <v>0</v>
      </c>
      <c r="D177" s="607">
        <f>'CADASTRO V-T e ISS'!G177</f>
        <v>0</v>
      </c>
      <c r="E177" s="621">
        <f>(('VALOR POSTOS MÊS '!E40+('VALOR POSTOS MÊS '!E48+'VALOR POSTOS MÊS '!E62+(MAX(0,$C177-0.06*'VALOR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'!$D$149-$D177)</f>
        <v>8428.8640036363649</v>
      </c>
      <c r="F177" s="621">
        <f>(('VALOR POSTOS MÊS '!F40+('VALOR POSTOS MÊS '!F48+'VALOR POSTOS MÊS '!F62+(MAX(0,$C177-0.06*'VALOR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'!$D$149-$D177)</f>
        <v>8281.6094581818197</v>
      </c>
      <c r="G177" s="621">
        <f>(('VALOR POSTOS MÊS '!G40+('VALOR POSTOS MÊS '!G48+'VALOR POSTOS MÊS '!G62+(MAX(0,$C177-0.06*'VALOR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'!$D$149-$D177)</f>
        <v>10267.560367272728</v>
      </c>
      <c r="H177" s="621">
        <f>(('VALOR POSTOS MÊS '!H40+('VALOR POSTOS MÊS '!H48+'VALOR POSTOS MÊS '!H62+(MAX(0,$C177-0.06*'VALOR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'!$D$149-$D177)</f>
        <v>12184.771276363639</v>
      </c>
      <c r="I177" s="621">
        <f>(('VALOR POSTOS MÊS '!I40+('VALOR POSTOS MÊS '!I48+'VALOR POSTOS MÊS '!I62+(MAX(0,$C177-0.06*'VALOR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'!$D$149-$D177)</f>
        <v>15820.113094545455</v>
      </c>
      <c r="J177" s="621">
        <f>(('VALOR POSTOS MÊS '!J40+('VALOR POSTOS MÊS '!J48+'VALOR POSTOS MÊS '!J62+(MAX(0,$C177-0.06*'VALOR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'!$D$149-$D177)</f>
        <v>19964.125821818187</v>
      </c>
      <c r="K177" s="621">
        <f>(('VALOR POSTOS MÊS '!K40+('VALOR POSTOS MÊS '!K48+'VALOR POSTOS MÊS '!K62+(MAX(0,$C177-0.06*'VALOR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'!$D$149-$D177)</f>
        <v>10555.705821818183</v>
      </c>
      <c r="L177" s="621">
        <f>(('VALOR POSTOS MÊS '!L40+('VALOR POSTOS MÊS '!L48+'VALOR POSTOS MÊS '!L62+(MAX(0,$C177-0.06*'VALOR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'!$D$149-$D177)</f>
        <v>10285.696730909092</v>
      </c>
      <c r="M177" s="604">
        <f>'CADASTRO V-T e ISS'!H177</f>
        <v>2</v>
      </c>
      <c r="N177" s="604">
        <f>'CADASTRO V-T e ISS'!I177</f>
        <v>8</v>
      </c>
      <c r="O177" s="604">
        <f>'CADASTRO V-T e ISS'!J177</f>
        <v>1</v>
      </c>
      <c r="P177" s="604">
        <f>'CADASTRO V-T e ISS'!K177</f>
        <v>3</v>
      </c>
      <c r="Q177" s="604">
        <f>'CADASTRO V-T e ISS'!L177</f>
        <v>1</v>
      </c>
      <c r="R177" s="604">
        <f>'CADASTRO V-T e ISS'!M177</f>
        <v>0</v>
      </c>
      <c r="S177" s="604">
        <f>'CADASTRO V-T e ISS'!N177</f>
        <v>1</v>
      </c>
      <c r="T177" s="604">
        <f>'CADASTRO V-T e ISS'!O177</f>
        <v>0</v>
      </c>
      <c r="U177" s="608">
        <f t="shared" si="20"/>
        <v>156308.29678545459</v>
      </c>
      <c r="V177" s="608">
        <f t="shared" si="21"/>
        <v>3126.1659357090916</v>
      </c>
      <c r="W177" s="608">
        <f t="shared" si="22"/>
        <v>159434.46272116367</v>
      </c>
      <c r="X177" s="608">
        <f t="shared" si="23"/>
        <v>3826427.1053079283</v>
      </c>
    </row>
    <row r="178" spans="1:24">
      <c r="A178" s="604">
        <f>'CADASTRO V-T e ISS'!A178</f>
        <v>173</v>
      </c>
      <c r="B178" s="605" t="str">
        <f>'CADASTRO V-T e ISS'!B178</f>
        <v>Tejuçuoca</v>
      </c>
      <c r="C178" s="606">
        <f>IF('CADASTRO V-T e ISS'!C178="SIM",'CADASTRO V-T e ISS'!D178*'CADASTRO V-T e ISS'!E178*'CADASTRO V-T e ISS'!F178,0)</f>
        <v>0</v>
      </c>
      <c r="D178" s="607">
        <f>'CADASTRO V-T e ISS'!G178</f>
        <v>0</v>
      </c>
      <c r="E178" s="621">
        <f>(('VALOR POSTOS MÊS '!E40+('VALOR POSTOS MÊS '!E48+'VALOR POSTOS MÊS '!E62+(MAX(0,$C178-0.06*'VALOR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'!$D$149-$D178)</f>
        <v>8428.8640036363649</v>
      </c>
      <c r="F178" s="621">
        <f>(('VALOR POSTOS MÊS '!F40+('VALOR POSTOS MÊS '!F48+'VALOR POSTOS MÊS '!F62+(MAX(0,$C178-0.06*'VALOR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'!$D$149-$D178)</f>
        <v>8281.6094581818197</v>
      </c>
      <c r="G178" s="621">
        <f>(('VALOR POSTOS MÊS '!G40+('VALOR POSTOS MÊS '!G48+'VALOR POSTOS MÊS '!G62+(MAX(0,$C178-0.06*'VALOR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'!$D$149-$D178)</f>
        <v>10267.560367272728</v>
      </c>
      <c r="H178" s="621">
        <f>(('VALOR POSTOS MÊS '!H40+('VALOR POSTOS MÊS '!H48+'VALOR POSTOS MÊS '!H62+(MAX(0,$C178-0.06*'VALOR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'!$D$149-$D178)</f>
        <v>12184.771276363639</v>
      </c>
      <c r="I178" s="621">
        <f>(('VALOR POSTOS MÊS '!I40+('VALOR POSTOS MÊS '!I48+'VALOR POSTOS MÊS '!I62+(MAX(0,$C178-0.06*'VALOR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'!$D$149-$D178)</f>
        <v>15820.113094545455</v>
      </c>
      <c r="J178" s="621">
        <f>(('VALOR POSTOS MÊS '!J40+('VALOR POSTOS MÊS '!J48+'VALOR POSTOS MÊS '!J62+(MAX(0,$C178-0.06*'VALOR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'!$D$149-$D178)</f>
        <v>19964.125821818187</v>
      </c>
      <c r="K178" s="621">
        <f>(('VALOR POSTOS MÊS '!K40+('VALOR POSTOS MÊS '!K48+'VALOR POSTOS MÊS '!K62+(MAX(0,$C178-0.06*'VALOR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'!$D$149-$D178)</f>
        <v>10555.705821818183</v>
      </c>
      <c r="L178" s="621">
        <f>(('VALOR POSTOS MÊS '!L40+('VALOR POSTOS MÊS '!L48+'VALOR POSTOS MÊS '!L62+(MAX(0,$C178-0.06*'VALOR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'!$D$149-$D178)</f>
        <v>10285.696730909092</v>
      </c>
      <c r="M178" s="604">
        <f>'CADASTRO V-T e ISS'!H178</f>
        <v>0</v>
      </c>
      <c r="N178" s="604">
        <f>'CADASTRO V-T e ISS'!I178</f>
        <v>0</v>
      </c>
      <c r="O178" s="604">
        <f>'CADASTRO V-T e ISS'!J178</f>
        <v>0</v>
      </c>
      <c r="P178" s="604">
        <f>'CADASTRO V-T e ISS'!K178</f>
        <v>0</v>
      </c>
      <c r="Q178" s="604">
        <f>'CADASTRO V-T e ISS'!L178</f>
        <v>0</v>
      </c>
      <c r="R178" s="604">
        <f>'CADASTRO V-T e ISS'!M178</f>
        <v>0</v>
      </c>
      <c r="S178" s="604">
        <f>'CADASTRO V-T e ISS'!N178</f>
        <v>0</v>
      </c>
      <c r="T178" s="604">
        <f>'CADASTRO V-T e ISS'!O178</f>
        <v>0</v>
      </c>
      <c r="U178" s="608">
        <f t="shared" si="20"/>
        <v>0</v>
      </c>
      <c r="V178" s="608">
        <f t="shared" si="21"/>
        <v>0</v>
      </c>
      <c r="W178" s="608">
        <f t="shared" si="22"/>
        <v>0</v>
      </c>
      <c r="X178" s="608">
        <f t="shared" si="23"/>
        <v>0</v>
      </c>
    </row>
    <row r="179" spans="1:24">
      <c r="A179" s="604">
        <f>'CADASTRO V-T e ISS'!A179</f>
        <v>174</v>
      </c>
      <c r="B179" s="605" t="str">
        <f>'CADASTRO V-T e ISS'!B179</f>
        <v>Tianguá</v>
      </c>
      <c r="C179" s="606">
        <f>IF('CADASTRO V-T e ISS'!C179="SIM",'CADASTRO V-T e ISS'!D179*'CADASTRO V-T e ISS'!E179*'CADASTRO V-T e ISS'!F179,0)</f>
        <v>0</v>
      </c>
      <c r="D179" s="607">
        <f>'CADASTRO V-T e ISS'!G179</f>
        <v>0</v>
      </c>
      <c r="E179" s="621">
        <f>(('VALOR POSTOS MÊS '!E40+('VALOR POSTOS MÊS '!E48+'VALOR POSTOS MÊS '!E62+(MAX(0,$C179-0.06*'VALOR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'!E62+(MAX(0,$C179-0.06*'VALOR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'!$D$149-$D179)</f>
        <v>8428.8640036363649</v>
      </c>
      <c r="F179" s="621">
        <f>(('VALOR POSTOS MÊS '!F40+('VALOR POSTOS MÊS '!F48+'VALOR POSTOS MÊS '!F62+(MAX(0,$C179-0.06*'VALOR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'!F62+(MAX(0,$C179-0.06*'VALOR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'!$D$149-$D179)</f>
        <v>8281.6094581818197</v>
      </c>
      <c r="G179" s="621">
        <f>(('VALOR POSTOS MÊS '!G40+('VALOR POSTOS MÊS '!G48+'VALOR POSTOS MÊS '!G62+(MAX(0,$C179-0.06*'VALOR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'!G62+(MAX(0,$C179-0.06*'VALOR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'!$D$149-$D179)</f>
        <v>10267.560367272728</v>
      </c>
      <c r="H179" s="621">
        <f>(('VALOR POSTOS MÊS '!H40+('VALOR POSTOS MÊS '!H48+'VALOR POSTOS MÊS '!H62+(MAX(0,$C179-0.06*'VALOR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'!H62+(MAX(0,$C179-0.06*'VALOR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'!$D$149-$D179)</f>
        <v>12184.771276363639</v>
      </c>
      <c r="I179" s="621">
        <f>(('VALOR POSTOS MÊS '!I40+('VALOR POSTOS MÊS '!I48+'VALOR POSTOS MÊS '!I62+(MAX(0,$C179-0.06*'VALOR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'!I62+(MAX(0,$C179-0.06*'VALOR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'!$D$149-$D179)</f>
        <v>15820.113094545455</v>
      </c>
      <c r="J179" s="621">
        <f>(('VALOR POSTOS MÊS '!J40+('VALOR POSTOS MÊS '!J48+'VALOR POSTOS MÊS '!J62+(MAX(0,$C179-0.06*'VALOR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'!J62+(MAX(0,$C179-0.06*'VALOR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'!$D$149-$D179)</f>
        <v>19964.125821818187</v>
      </c>
      <c r="K179" s="621">
        <f>(('VALOR POSTOS MÊS '!K40+('VALOR POSTOS MÊS '!K48+'VALOR POSTOS MÊS '!K62+(MAX(0,$C179-0.06*'VALOR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'!K62+(MAX(0,$C179-0.06*'VALOR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'!$D$149-$D179)</f>
        <v>10555.705821818183</v>
      </c>
      <c r="L179" s="621">
        <f>(('VALOR POSTOS MÊS '!L40+('VALOR POSTOS MÊS '!L48+'VALOR POSTOS MÊS '!L62+(MAX(0,$C179-0.06*'VALOR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'!L62+(MAX(0,$C179-0.06*'VALOR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'!$D$149-$D179)</f>
        <v>10285.696730909092</v>
      </c>
      <c r="M179" s="604">
        <f>'CADASTRO V-T e ISS'!H179</f>
        <v>1</v>
      </c>
      <c r="N179" s="604">
        <f>'CADASTRO V-T e ISS'!I179</f>
        <v>2</v>
      </c>
      <c r="O179" s="604">
        <f>'CADASTRO V-T e ISS'!J179</f>
        <v>0</v>
      </c>
      <c r="P179" s="604">
        <f>'CADASTRO V-T e ISS'!K179</f>
        <v>0</v>
      </c>
      <c r="Q179" s="604">
        <f>'CADASTRO V-T e ISS'!L179</f>
        <v>0</v>
      </c>
      <c r="R179" s="604">
        <f>'CADASTRO V-T e ISS'!M179</f>
        <v>0</v>
      </c>
      <c r="S179" s="604">
        <f>'CADASTRO V-T e ISS'!N179</f>
        <v>0</v>
      </c>
      <c r="T179" s="604">
        <f>'CADASTRO V-T e ISS'!O179</f>
        <v>0</v>
      </c>
      <c r="U179" s="608">
        <f t="shared" si="20"/>
        <v>24992.082920000004</v>
      </c>
      <c r="V179" s="608">
        <f t="shared" si="21"/>
        <v>499.84165840000009</v>
      </c>
      <c r="W179" s="608">
        <f t="shared" si="22"/>
        <v>25491.924578400005</v>
      </c>
      <c r="X179" s="608">
        <f t="shared" si="23"/>
        <v>611806.18988160009</v>
      </c>
    </row>
    <row r="180" spans="1:24">
      <c r="A180" s="604">
        <f>'CADASTRO V-T e ISS'!A180</f>
        <v>175</v>
      </c>
      <c r="B180" s="605" t="str">
        <f>'CADASTRO V-T e ISS'!B180</f>
        <v>Trairi</v>
      </c>
      <c r="C180" s="606">
        <f>IF('CADASTRO V-T e ISS'!C180="SIM",'CADASTRO V-T e ISS'!D180*'CADASTRO V-T e ISS'!E180*'CADASTRO V-T e ISS'!F180,0)</f>
        <v>0</v>
      </c>
      <c r="D180" s="607">
        <f>'CADASTRO V-T e ISS'!G180</f>
        <v>0</v>
      </c>
      <c r="E180" s="621">
        <f>(('VALOR POSTOS MÊS '!E40+('VALOR POSTOS MÊS '!E48+'VALOR POSTOS MÊS '!E62+(MAX(0,$C180-0.06*'VALOR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'!E62+(MAX(0,$C180-0.06*'VALOR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'!$D$149-$D180)</f>
        <v>8428.8640036363649</v>
      </c>
      <c r="F180" s="621">
        <f>(('VALOR POSTOS MÊS '!F40+('VALOR POSTOS MÊS '!F48+'VALOR POSTOS MÊS '!F62+(MAX(0,$C180-0.06*'VALOR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'!F62+(MAX(0,$C180-0.06*'VALOR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'!$D$149-$D180)</f>
        <v>8281.6094581818197</v>
      </c>
      <c r="G180" s="621">
        <f>(('VALOR POSTOS MÊS '!G40+('VALOR POSTOS MÊS '!G48+'VALOR POSTOS MÊS '!G62+(MAX(0,$C180-0.06*'VALOR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'!G62+(MAX(0,$C180-0.06*'VALOR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'!$D$149-$D180)</f>
        <v>10267.560367272728</v>
      </c>
      <c r="H180" s="621">
        <f>(('VALOR POSTOS MÊS '!H40+('VALOR POSTOS MÊS '!H48+'VALOR POSTOS MÊS '!H62+(MAX(0,$C180-0.06*'VALOR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'!H62+(MAX(0,$C180-0.06*'VALOR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'!$D$149-$D180)</f>
        <v>12184.771276363639</v>
      </c>
      <c r="I180" s="621">
        <f>(('VALOR POSTOS MÊS '!I40+('VALOR POSTOS MÊS '!I48+'VALOR POSTOS MÊS '!I62+(MAX(0,$C180-0.06*'VALOR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'!I62+(MAX(0,$C180-0.06*'VALOR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'!$D$149-$D180)</f>
        <v>15820.113094545455</v>
      </c>
      <c r="J180" s="621">
        <f>(('VALOR POSTOS MÊS '!J40+('VALOR POSTOS MÊS '!J48+'VALOR POSTOS MÊS '!J62+(MAX(0,$C180-0.06*'VALOR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'!J62+(MAX(0,$C180-0.06*'VALOR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'!$D$149-$D180)</f>
        <v>19964.125821818187</v>
      </c>
      <c r="K180" s="621">
        <f>(('VALOR POSTOS MÊS '!K40+('VALOR POSTOS MÊS '!K48+'VALOR POSTOS MÊS '!K62+(MAX(0,$C180-0.06*'VALOR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'!K62+(MAX(0,$C180-0.06*'VALOR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'!$D$149-$D180)</f>
        <v>10555.705821818183</v>
      </c>
      <c r="L180" s="621">
        <f>(('VALOR POSTOS MÊS '!L40+('VALOR POSTOS MÊS '!L48+'VALOR POSTOS MÊS '!L62+(MAX(0,$C180-0.06*'VALOR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'!L62+(MAX(0,$C180-0.06*'VALOR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'!$D$149-$D180)</f>
        <v>10285.696730909092</v>
      </c>
      <c r="M180" s="604">
        <f>'CADASTRO V-T e ISS'!H180</f>
        <v>1</v>
      </c>
      <c r="N180" s="604">
        <f>'CADASTRO V-T e ISS'!I180</f>
        <v>2</v>
      </c>
      <c r="O180" s="604">
        <f>'CADASTRO V-T e ISS'!J180</f>
        <v>0</v>
      </c>
      <c r="P180" s="604">
        <f>'CADASTRO V-T e ISS'!K180</f>
        <v>0</v>
      </c>
      <c r="Q180" s="604">
        <f>'CADASTRO V-T e ISS'!L180</f>
        <v>0</v>
      </c>
      <c r="R180" s="604">
        <f>'CADASTRO V-T e ISS'!M180</f>
        <v>0</v>
      </c>
      <c r="S180" s="604">
        <f>'CADASTRO V-T e ISS'!N180</f>
        <v>0</v>
      </c>
      <c r="T180" s="604">
        <f>'CADASTRO V-T e ISS'!O180</f>
        <v>0</v>
      </c>
      <c r="U180" s="608">
        <f t="shared" si="20"/>
        <v>24992.082920000004</v>
      </c>
      <c r="V180" s="608">
        <f t="shared" si="21"/>
        <v>499.84165840000009</v>
      </c>
      <c r="W180" s="608">
        <f t="shared" si="22"/>
        <v>25491.924578400005</v>
      </c>
      <c r="X180" s="608">
        <f t="shared" si="23"/>
        <v>611806.18988160009</v>
      </c>
    </row>
    <row r="181" spans="1:24">
      <c r="A181" s="604">
        <f>'CADASTRO V-T e ISS'!A181</f>
        <v>176</v>
      </c>
      <c r="B181" s="605" t="str">
        <f>'CADASTRO V-T e ISS'!B181</f>
        <v>Tururu</v>
      </c>
      <c r="C181" s="606">
        <f>IF('CADASTRO V-T e ISS'!C181="SIM",'CADASTRO V-T e ISS'!D181*'CADASTRO V-T e ISS'!E181*'CADASTRO V-T e ISS'!F181,0)</f>
        <v>0</v>
      </c>
      <c r="D181" s="607">
        <f>'CADASTRO V-T e ISS'!G181</f>
        <v>0</v>
      </c>
      <c r="E181" s="621">
        <f>(('VALOR POSTOS MÊS '!E40+('VALOR POSTOS MÊS '!E48+'VALOR POSTOS MÊS '!E62+(MAX(0,$C181-0.06*'VALOR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'!E62+(MAX(0,$C181-0.06*'VALOR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'!$D$149-$D181)</f>
        <v>8428.8640036363649</v>
      </c>
      <c r="F181" s="621">
        <f>(('VALOR POSTOS MÊS '!F40+('VALOR POSTOS MÊS '!F48+'VALOR POSTOS MÊS '!F62+(MAX(0,$C181-0.06*'VALOR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'!F62+(MAX(0,$C181-0.06*'VALOR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'!$D$149-$D181)</f>
        <v>8281.6094581818197</v>
      </c>
      <c r="G181" s="621">
        <f>(('VALOR POSTOS MÊS '!G40+('VALOR POSTOS MÊS '!G48+'VALOR POSTOS MÊS '!G62+(MAX(0,$C181-0.06*'VALOR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'!G62+(MAX(0,$C181-0.06*'VALOR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'!$D$149-$D181)</f>
        <v>10267.560367272728</v>
      </c>
      <c r="H181" s="621">
        <f>(('VALOR POSTOS MÊS '!H40+('VALOR POSTOS MÊS '!H48+'VALOR POSTOS MÊS '!H62+(MAX(0,$C181-0.06*'VALOR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'!H62+(MAX(0,$C181-0.06*'VALOR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'!$D$149-$D181)</f>
        <v>12184.771276363639</v>
      </c>
      <c r="I181" s="621">
        <f>(('VALOR POSTOS MÊS '!I40+('VALOR POSTOS MÊS '!I48+'VALOR POSTOS MÊS '!I62+(MAX(0,$C181-0.06*'VALOR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'!I62+(MAX(0,$C181-0.06*'VALOR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'!$D$149-$D181)</f>
        <v>15820.113094545455</v>
      </c>
      <c r="J181" s="621">
        <f>(('VALOR POSTOS MÊS '!J40+('VALOR POSTOS MÊS '!J48+'VALOR POSTOS MÊS '!J62+(MAX(0,$C181-0.06*'VALOR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'!J62+(MAX(0,$C181-0.06*'VALOR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'!$D$149-$D181)</f>
        <v>19964.125821818187</v>
      </c>
      <c r="K181" s="621">
        <f>(('VALOR POSTOS MÊS '!K40+('VALOR POSTOS MÊS '!K48+'VALOR POSTOS MÊS '!K62+(MAX(0,$C181-0.06*'VALOR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'!K62+(MAX(0,$C181-0.06*'VALOR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'!$D$149-$D181)</f>
        <v>10555.705821818183</v>
      </c>
      <c r="L181" s="621">
        <f>(('VALOR POSTOS MÊS '!L40+('VALOR POSTOS MÊS '!L48+'VALOR POSTOS MÊS '!L62+(MAX(0,$C181-0.06*'VALOR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'!L62+(MAX(0,$C181-0.06*'VALOR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'!$D$149-$D181)</f>
        <v>10285.696730909092</v>
      </c>
      <c r="M181" s="604">
        <f>'CADASTRO V-T e ISS'!H181</f>
        <v>0</v>
      </c>
      <c r="N181" s="604">
        <f>'CADASTRO V-T e ISS'!I181</f>
        <v>0</v>
      </c>
      <c r="O181" s="604">
        <f>'CADASTRO V-T e ISS'!J181</f>
        <v>0</v>
      </c>
      <c r="P181" s="604">
        <f>'CADASTRO V-T e ISS'!K181</f>
        <v>0</v>
      </c>
      <c r="Q181" s="604">
        <f>'CADASTRO V-T e ISS'!L181</f>
        <v>0</v>
      </c>
      <c r="R181" s="604">
        <f>'CADASTRO V-T e ISS'!M181</f>
        <v>0</v>
      </c>
      <c r="S181" s="604">
        <f>'CADASTRO V-T e ISS'!N181</f>
        <v>0</v>
      </c>
      <c r="T181" s="604">
        <f>'CADASTRO V-T e ISS'!O181</f>
        <v>0</v>
      </c>
      <c r="U181" s="608">
        <f t="shared" si="20"/>
        <v>0</v>
      </c>
      <c r="V181" s="608">
        <f t="shared" si="21"/>
        <v>0</v>
      </c>
      <c r="W181" s="608">
        <f t="shared" si="22"/>
        <v>0</v>
      </c>
      <c r="X181" s="608">
        <f t="shared" si="23"/>
        <v>0</v>
      </c>
    </row>
    <row r="182" spans="1:24">
      <c r="A182" s="604">
        <f>'CADASTRO V-T e ISS'!A182</f>
        <v>177</v>
      </c>
      <c r="B182" s="605" t="str">
        <f>'CADASTRO V-T e ISS'!B182</f>
        <v>Ubajara</v>
      </c>
      <c r="C182" s="606">
        <f>IF('CADASTRO V-T e ISS'!C182="SIM",'CADASTRO V-T e ISS'!D182*'CADASTRO V-T e ISS'!E182*'CADASTRO V-T e ISS'!F182,0)</f>
        <v>0</v>
      </c>
      <c r="D182" s="607">
        <f>'CADASTRO V-T e ISS'!G182</f>
        <v>0</v>
      </c>
      <c r="E182" s="621">
        <f>(('VALOR POSTOS MÊS '!E40+('VALOR POSTOS MÊS '!E48+'VALOR POSTOS MÊS '!E62+(MAX(0,$C182-0.06*'VALOR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'!E62+(MAX(0,$C182-0.06*'VALOR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'!$D$149-$D182)</f>
        <v>8428.8640036363649</v>
      </c>
      <c r="F182" s="621">
        <f>(('VALOR POSTOS MÊS '!F40+('VALOR POSTOS MÊS '!F48+'VALOR POSTOS MÊS '!F62+(MAX(0,$C182-0.06*'VALOR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'!F62+(MAX(0,$C182-0.06*'VALOR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'!$D$149-$D182)</f>
        <v>8281.6094581818197</v>
      </c>
      <c r="G182" s="621">
        <f>(('VALOR POSTOS MÊS '!G40+('VALOR POSTOS MÊS '!G48+'VALOR POSTOS MÊS '!G62+(MAX(0,$C182-0.06*'VALOR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'!G62+(MAX(0,$C182-0.06*'VALOR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'!$D$149-$D182)</f>
        <v>10267.560367272728</v>
      </c>
      <c r="H182" s="621">
        <f>(('VALOR POSTOS MÊS '!H40+('VALOR POSTOS MÊS '!H48+'VALOR POSTOS MÊS '!H62+(MAX(0,$C182-0.06*'VALOR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'!H62+(MAX(0,$C182-0.06*'VALOR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'!$D$149-$D182)</f>
        <v>12184.771276363639</v>
      </c>
      <c r="I182" s="621">
        <f>(('VALOR POSTOS MÊS '!I40+('VALOR POSTOS MÊS '!I48+'VALOR POSTOS MÊS '!I62+(MAX(0,$C182-0.06*'VALOR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'!I62+(MAX(0,$C182-0.06*'VALOR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'!$D$149-$D182)</f>
        <v>15820.113094545455</v>
      </c>
      <c r="J182" s="621">
        <f>(('VALOR POSTOS MÊS '!J40+('VALOR POSTOS MÊS '!J48+'VALOR POSTOS MÊS '!J62+(MAX(0,$C182-0.06*'VALOR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'!J62+(MAX(0,$C182-0.06*'VALOR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'!$D$149-$D182)</f>
        <v>19964.125821818187</v>
      </c>
      <c r="K182" s="621">
        <f>(('VALOR POSTOS MÊS '!K40+('VALOR POSTOS MÊS '!K48+'VALOR POSTOS MÊS '!K62+(MAX(0,$C182-0.06*'VALOR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'!K62+(MAX(0,$C182-0.06*'VALOR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'!$D$149-$D182)</f>
        <v>10555.705821818183</v>
      </c>
      <c r="L182" s="621">
        <f>(('VALOR POSTOS MÊS '!L40+('VALOR POSTOS MÊS '!L48+'VALOR POSTOS MÊS '!L62+(MAX(0,$C182-0.06*'VALOR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'!L62+(MAX(0,$C182-0.06*'VALOR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'!$D$149-$D182)</f>
        <v>10285.696730909092</v>
      </c>
      <c r="M182" s="604">
        <f>'CADASTRO V-T e ISS'!H182</f>
        <v>1</v>
      </c>
      <c r="N182" s="604">
        <f>'CADASTRO V-T e ISS'!I182</f>
        <v>2</v>
      </c>
      <c r="O182" s="604">
        <f>'CADASTRO V-T e ISS'!J182</f>
        <v>0</v>
      </c>
      <c r="P182" s="604">
        <f>'CADASTRO V-T e ISS'!K182</f>
        <v>0</v>
      </c>
      <c r="Q182" s="604">
        <f>'CADASTRO V-T e ISS'!L182</f>
        <v>0</v>
      </c>
      <c r="R182" s="604">
        <f>'CADASTRO V-T e ISS'!M182</f>
        <v>0</v>
      </c>
      <c r="S182" s="604">
        <f>'CADASTRO V-T e ISS'!N182</f>
        <v>0</v>
      </c>
      <c r="T182" s="604">
        <f>'CADASTRO V-T e ISS'!O182</f>
        <v>0</v>
      </c>
      <c r="U182" s="608">
        <f t="shared" si="20"/>
        <v>24992.082920000004</v>
      </c>
      <c r="V182" s="608">
        <f t="shared" si="21"/>
        <v>499.84165840000009</v>
      </c>
      <c r="W182" s="608">
        <f t="shared" si="22"/>
        <v>25491.924578400005</v>
      </c>
      <c r="X182" s="608">
        <f t="shared" si="23"/>
        <v>611806.18988160009</v>
      </c>
    </row>
    <row r="183" spans="1:24">
      <c r="A183" s="604">
        <f>'CADASTRO V-T e ISS'!A183</f>
        <v>178</v>
      </c>
      <c r="B183" s="605" t="str">
        <f>'CADASTRO V-T e ISS'!B183</f>
        <v>Umari</v>
      </c>
      <c r="C183" s="606">
        <f>IF('CADASTRO V-T e ISS'!C183="SIM",'CADASTRO V-T e ISS'!D183*'CADASTRO V-T e ISS'!E183*'CADASTRO V-T e ISS'!F183,0)</f>
        <v>0</v>
      </c>
      <c r="D183" s="607">
        <f>'CADASTRO V-T e ISS'!G183</f>
        <v>0</v>
      </c>
      <c r="E183" s="621">
        <f>(('VALOR POSTOS MÊS '!E40+('VALOR POSTOS MÊS '!E48+'VALOR POSTOS MÊS '!E62+(MAX(0,$C183-0.06*'VALOR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'!E62+(MAX(0,$C183-0.06*'VALOR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'!$D$149-$D183)</f>
        <v>8428.8640036363649</v>
      </c>
      <c r="F183" s="621">
        <f>(('VALOR POSTOS MÊS '!F40+('VALOR POSTOS MÊS '!F48+'VALOR POSTOS MÊS '!F62+(MAX(0,$C183-0.06*'VALOR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'!F62+(MAX(0,$C183-0.06*'VALOR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'!$D$149-$D183)</f>
        <v>8281.6094581818197</v>
      </c>
      <c r="G183" s="621">
        <f>(('VALOR POSTOS MÊS '!G40+('VALOR POSTOS MÊS '!G48+'VALOR POSTOS MÊS '!G62+(MAX(0,$C183-0.06*'VALOR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'!G62+(MAX(0,$C183-0.06*'VALOR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'!$D$149-$D183)</f>
        <v>10267.560367272728</v>
      </c>
      <c r="H183" s="621">
        <f>(('VALOR POSTOS MÊS '!H40+('VALOR POSTOS MÊS '!H48+'VALOR POSTOS MÊS '!H62+(MAX(0,$C183-0.06*'VALOR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'!H62+(MAX(0,$C183-0.06*'VALOR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'!$D$149-$D183)</f>
        <v>12184.771276363639</v>
      </c>
      <c r="I183" s="621">
        <f>(('VALOR POSTOS MÊS '!I40+('VALOR POSTOS MÊS '!I48+'VALOR POSTOS MÊS '!I62+(MAX(0,$C183-0.06*'VALOR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'!I62+(MAX(0,$C183-0.06*'VALOR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'!$D$149-$D183)</f>
        <v>15820.113094545455</v>
      </c>
      <c r="J183" s="621">
        <f>(('VALOR POSTOS MÊS '!J40+('VALOR POSTOS MÊS '!J48+'VALOR POSTOS MÊS '!J62+(MAX(0,$C183-0.06*'VALOR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'!J62+(MAX(0,$C183-0.06*'VALOR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'!$D$149-$D183)</f>
        <v>19964.125821818187</v>
      </c>
      <c r="K183" s="621">
        <f>(('VALOR POSTOS MÊS '!K40+('VALOR POSTOS MÊS '!K48+'VALOR POSTOS MÊS '!K62+(MAX(0,$C183-0.06*'VALOR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'!K62+(MAX(0,$C183-0.06*'VALOR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'!$D$149-$D183)</f>
        <v>10555.705821818183</v>
      </c>
      <c r="L183" s="621">
        <f>(('VALOR POSTOS MÊS '!L40+('VALOR POSTOS MÊS '!L48+'VALOR POSTOS MÊS '!L62+(MAX(0,$C183-0.06*'VALOR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'!L62+(MAX(0,$C183-0.06*'VALOR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'!$D$149-$D183)</f>
        <v>10285.696730909092</v>
      </c>
      <c r="M183" s="604">
        <f>'CADASTRO V-T e ISS'!H183</f>
        <v>0</v>
      </c>
      <c r="N183" s="604">
        <f>'CADASTRO V-T e ISS'!I183</f>
        <v>0</v>
      </c>
      <c r="O183" s="604">
        <f>'CADASTRO V-T e ISS'!J183</f>
        <v>0</v>
      </c>
      <c r="P183" s="604">
        <f>'CADASTRO V-T e ISS'!K183</f>
        <v>0</v>
      </c>
      <c r="Q183" s="604">
        <f>'CADASTRO V-T e ISS'!L183</f>
        <v>0</v>
      </c>
      <c r="R183" s="604">
        <f>'CADASTRO V-T e ISS'!M183</f>
        <v>0</v>
      </c>
      <c r="S183" s="604">
        <f>'CADASTRO V-T e ISS'!N183</f>
        <v>0</v>
      </c>
      <c r="T183" s="604">
        <f>'CADASTRO V-T e ISS'!O183</f>
        <v>0</v>
      </c>
      <c r="U183" s="608">
        <f t="shared" si="20"/>
        <v>0</v>
      </c>
      <c r="V183" s="608">
        <f t="shared" si="21"/>
        <v>0</v>
      </c>
      <c r="W183" s="608">
        <f t="shared" si="22"/>
        <v>0</v>
      </c>
      <c r="X183" s="608">
        <f t="shared" si="23"/>
        <v>0</v>
      </c>
    </row>
    <row r="184" spans="1:24">
      <c r="A184" s="604">
        <f>'CADASTRO V-T e ISS'!A184</f>
        <v>179</v>
      </c>
      <c r="B184" s="605" t="str">
        <f>'CADASTRO V-T e ISS'!B184</f>
        <v>Umirim</v>
      </c>
      <c r="C184" s="606">
        <f>IF('CADASTRO V-T e ISS'!C184="SIM",'CADASTRO V-T e ISS'!D184*'CADASTRO V-T e ISS'!E184*'CADASTRO V-T e ISS'!F184,0)</f>
        <v>0</v>
      </c>
      <c r="D184" s="607">
        <f>'CADASTRO V-T e ISS'!G184</f>
        <v>0</v>
      </c>
      <c r="E184" s="621">
        <f>(('VALOR POSTOS MÊS '!E40+('VALOR POSTOS MÊS '!E48+'VALOR POSTOS MÊS '!E62+(MAX(0,$C184-0.06*'VALOR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'!E62+(MAX(0,$C184-0.06*'VALOR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'!$D$149-$D184)</f>
        <v>8428.8640036363649</v>
      </c>
      <c r="F184" s="621">
        <f>(('VALOR POSTOS MÊS '!F40+('VALOR POSTOS MÊS '!F48+'VALOR POSTOS MÊS '!F62+(MAX(0,$C184-0.06*'VALOR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'!F62+(MAX(0,$C184-0.06*'VALOR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'!$D$149-$D184)</f>
        <v>8281.6094581818197</v>
      </c>
      <c r="G184" s="621">
        <f>(('VALOR POSTOS MÊS '!G40+('VALOR POSTOS MÊS '!G48+'VALOR POSTOS MÊS '!G62+(MAX(0,$C184-0.06*'VALOR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'!G62+(MAX(0,$C184-0.06*'VALOR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'!$D$149-$D184)</f>
        <v>10267.560367272728</v>
      </c>
      <c r="H184" s="621">
        <f>(('VALOR POSTOS MÊS '!H40+('VALOR POSTOS MÊS '!H48+'VALOR POSTOS MÊS '!H62+(MAX(0,$C184-0.06*'VALOR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'!H62+(MAX(0,$C184-0.06*'VALOR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'!$D$149-$D184)</f>
        <v>12184.771276363639</v>
      </c>
      <c r="I184" s="621">
        <f>(('VALOR POSTOS MÊS '!I40+('VALOR POSTOS MÊS '!I48+'VALOR POSTOS MÊS '!I62+(MAX(0,$C184-0.06*'VALOR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'!I62+(MAX(0,$C184-0.06*'VALOR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'!$D$149-$D184)</f>
        <v>15820.113094545455</v>
      </c>
      <c r="J184" s="621">
        <f>(('VALOR POSTOS MÊS '!J40+('VALOR POSTOS MÊS '!J48+'VALOR POSTOS MÊS '!J62+(MAX(0,$C184-0.06*'VALOR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'!J62+(MAX(0,$C184-0.06*'VALOR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'!$D$149-$D184)</f>
        <v>19964.125821818187</v>
      </c>
      <c r="K184" s="621">
        <f>(('VALOR POSTOS MÊS '!K40+('VALOR POSTOS MÊS '!K48+'VALOR POSTOS MÊS '!K62+(MAX(0,$C184-0.06*'VALOR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'!K62+(MAX(0,$C184-0.06*'VALOR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'!$D$149-$D184)</f>
        <v>10555.705821818183</v>
      </c>
      <c r="L184" s="621">
        <f>(('VALOR POSTOS MÊS '!L40+('VALOR POSTOS MÊS '!L48+'VALOR POSTOS MÊS '!L62+(MAX(0,$C184-0.06*'VALOR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'!L62+(MAX(0,$C184-0.06*'VALOR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'!$D$149-$D184)</f>
        <v>10285.696730909092</v>
      </c>
      <c r="M184" s="604">
        <f>'CADASTRO V-T e ISS'!H184</f>
        <v>1</v>
      </c>
      <c r="N184" s="604">
        <f>'CADASTRO V-T e ISS'!I184</f>
        <v>1</v>
      </c>
      <c r="O184" s="604">
        <f>'CADASTRO V-T e ISS'!J184</f>
        <v>0</v>
      </c>
      <c r="P184" s="604">
        <f>'CADASTRO V-T e ISS'!K184</f>
        <v>0</v>
      </c>
      <c r="Q184" s="604">
        <f>'CADASTRO V-T e ISS'!L184</f>
        <v>0</v>
      </c>
      <c r="R184" s="604">
        <f>'CADASTRO V-T e ISS'!M184</f>
        <v>0</v>
      </c>
      <c r="S184" s="604">
        <f>'CADASTRO V-T e ISS'!N184</f>
        <v>0</v>
      </c>
      <c r="T184" s="604">
        <f>'CADASTRO V-T e ISS'!O184</f>
        <v>0</v>
      </c>
      <c r="U184" s="608">
        <f t="shared" si="20"/>
        <v>16710.473461818183</v>
      </c>
      <c r="V184" s="608">
        <f t="shared" si="21"/>
        <v>334.20946923636365</v>
      </c>
      <c r="W184" s="608">
        <f t="shared" si="22"/>
        <v>17044.682931054547</v>
      </c>
      <c r="X184" s="608">
        <f t="shared" si="23"/>
        <v>409072.39034530916</v>
      </c>
    </row>
    <row r="185" spans="1:24">
      <c r="A185" s="604">
        <f>'CADASTRO V-T e ISS'!A185</f>
        <v>180</v>
      </c>
      <c r="B185" s="605" t="str">
        <f>'CADASTRO V-T e ISS'!B185</f>
        <v>Uruburetama</v>
      </c>
      <c r="C185" s="606">
        <f>IF('CADASTRO V-T e ISS'!C185="SIM",'CADASTRO V-T e ISS'!D185*'CADASTRO V-T e ISS'!E185*'CADASTRO V-T e ISS'!F185,0)</f>
        <v>0</v>
      </c>
      <c r="D185" s="607">
        <f>'CADASTRO V-T e ISS'!G185</f>
        <v>0</v>
      </c>
      <c r="E185" s="621">
        <f>(('VALOR POSTOS MÊS '!E40+('VALOR POSTOS MÊS '!E48+'VALOR POSTOS MÊS '!E62+(MAX(0,$C185-0.06*'VALOR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'!E62+(MAX(0,$C185-0.06*'VALOR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'!$D$149-$D185)</f>
        <v>8428.8640036363649</v>
      </c>
      <c r="F185" s="621">
        <f>(('VALOR POSTOS MÊS '!F40+('VALOR POSTOS MÊS '!F48+'VALOR POSTOS MÊS '!F62+(MAX(0,$C185-0.06*'VALOR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'!F62+(MAX(0,$C185-0.06*'VALOR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'!$D$149-$D185)</f>
        <v>8281.6094581818197</v>
      </c>
      <c r="G185" s="621">
        <f>(('VALOR POSTOS MÊS '!G40+('VALOR POSTOS MÊS '!G48+'VALOR POSTOS MÊS '!G62+(MAX(0,$C185-0.06*'VALOR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'!G62+(MAX(0,$C185-0.06*'VALOR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'!$D$149-$D185)</f>
        <v>10267.560367272728</v>
      </c>
      <c r="H185" s="621">
        <f>(('VALOR POSTOS MÊS '!H40+('VALOR POSTOS MÊS '!H48+'VALOR POSTOS MÊS '!H62+(MAX(0,$C185-0.06*'VALOR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'!H62+(MAX(0,$C185-0.06*'VALOR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'!$D$149-$D185)</f>
        <v>12184.771276363639</v>
      </c>
      <c r="I185" s="621">
        <f>(('VALOR POSTOS MÊS '!I40+('VALOR POSTOS MÊS '!I48+'VALOR POSTOS MÊS '!I62+(MAX(0,$C185-0.06*'VALOR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'!I62+(MAX(0,$C185-0.06*'VALOR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'!$D$149-$D185)</f>
        <v>15820.113094545455</v>
      </c>
      <c r="J185" s="621">
        <f>(('VALOR POSTOS MÊS '!J40+('VALOR POSTOS MÊS '!J48+'VALOR POSTOS MÊS '!J62+(MAX(0,$C185-0.06*'VALOR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'!J62+(MAX(0,$C185-0.06*'VALOR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'!$D$149-$D185)</f>
        <v>19964.125821818187</v>
      </c>
      <c r="K185" s="621">
        <f>(('VALOR POSTOS MÊS '!K40+('VALOR POSTOS MÊS '!K48+'VALOR POSTOS MÊS '!K62+(MAX(0,$C185-0.06*'VALOR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'!K62+(MAX(0,$C185-0.06*'VALOR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'!$D$149-$D185)</f>
        <v>10555.705821818183</v>
      </c>
      <c r="L185" s="621">
        <f>(('VALOR POSTOS MÊS '!L40+('VALOR POSTOS MÊS '!L48+'VALOR POSTOS MÊS '!L62+(MAX(0,$C185-0.06*'VALOR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'!L62+(MAX(0,$C185-0.06*'VALOR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'!$D$149-$D185)</f>
        <v>10285.696730909092</v>
      </c>
      <c r="M185" s="604">
        <f>'CADASTRO V-T e ISS'!H185</f>
        <v>1</v>
      </c>
      <c r="N185" s="604">
        <f>'CADASTRO V-T e ISS'!I185</f>
        <v>2</v>
      </c>
      <c r="O185" s="604">
        <f>'CADASTRO V-T e ISS'!J185</f>
        <v>0</v>
      </c>
      <c r="P185" s="604">
        <f>'CADASTRO V-T e ISS'!K185</f>
        <v>0</v>
      </c>
      <c r="Q185" s="604">
        <f>'CADASTRO V-T e ISS'!L185</f>
        <v>0</v>
      </c>
      <c r="R185" s="604">
        <f>'CADASTRO V-T e ISS'!M185</f>
        <v>0</v>
      </c>
      <c r="S185" s="604">
        <f>'CADASTRO V-T e ISS'!N185</f>
        <v>0</v>
      </c>
      <c r="T185" s="604">
        <f>'CADASTRO V-T e ISS'!O185</f>
        <v>0</v>
      </c>
      <c r="U185" s="608">
        <f t="shared" si="20"/>
        <v>24992.082920000004</v>
      </c>
      <c r="V185" s="608">
        <f t="shared" si="21"/>
        <v>499.84165840000009</v>
      </c>
      <c r="W185" s="608">
        <f t="shared" si="22"/>
        <v>25491.924578400005</v>
      </c>
      <c r="X185" s="608">
        <f t="shared" si="23"/>
        <v>611806.18988160009</v>
      </c>
    </row>
    <row r="186" spans="1:24">
      <c r="A186" s="604">
        <f>'CADASTRO V-T e ISS'!A186</f>
        <v>181</v>
      </c>
      <c r="B186" s="605" t="str">
        <f>'CADASTRO V-T e ISS'!B186</f>
        <v>Uruoca</v>
      </c>
      <c r="C186" s="606">
        <f>IF('CADASTRO V-T e ISS'!C186="SIM",'CADASTRO V-T e ISS'!D186*'CADASTRO V-T e ISS'!E186*'CADASTRO V-T e ISS'!F186,0)</f>
        <v>0</v>
      </c>
      <c r="D186" s="607">
        <f>'CADASTRO V-T e ISS'!G186</f>
        <v>0</v>
      </c>
      <c r="E186" s="621">
        <f>(('VALOR POSTOS MÊS '!E40+('VALOR POSTOS MÊS '!E48+'VALOR POSTOS MÊS '!E62+(MAX(0,$C186-0.06*'VALOR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'!E62+(MAX(0,$C186-0.06*'VALOR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'!$D$149-$D186)</f>
        <v>8428.8640036363649</v>
      </c>
      <c r="F186" s="621">
        <f>(('VALOR POSTOS MÊS '!F40+('VALOR POSTOS MÊS '!F48+'VALOR POSTOS MÊS '!F62+(MAX(0,$C186-0.06*'VALOR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'!F62+(MAX(0,$C186-0.06*'VALOR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'!$D$149-$D186)</f>
        <v>8281.6094581818197</v>
      </c>
      <c r="G186" s="621">
        <f>(('VALOR POSTOS MÊS '!G40+('VALOR POSTOS MÊS '!G48+'VALOR POSTOS MÊS '!G62+(MAX(0,$C186-0.06*'VALOR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'!G62+(MAX(0,$C186-0.06*'VALOR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'!$D$149-$D186)</f>
        <v>10267.560367272728</v>
      </c>
      <c r="H186" s="621">
        <f>(('VALOR POSTOS MÊS '!H40+('VALOR POSTOS MÊS '!H48+'VALOR POSTOS MÊS '!H62+(MAX(0,$C186-0.06*'VALOR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'!H62+(MAX(0,$C186-0.06*'VALOR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'!$D$149-$D186)</f>
        <v>12184.771276363639</v>
      </c>
      <c r="I186" s="621">
        <f>(('VALOR POSTOS MÊS '!I40+('VALOR POSTOS MÊS '!I48+'VALOR POSTOS MÊS '!I62+(MAX(0,$C186-0.06*'VALOR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'!I62+(MAX(0,$C186-0.06*'VALOR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'!$D$149-$D186)</f>
        <v>15820.113094545455</v>
      </c>
      <c r="J186" s="621">
        <f>(('VALOR POSTOS MÊS '!J40+('VALOR POSTOS MÊS '!J48+'VALOR POSTOS MÊS '!J62+(MAX(0,$C186-0.06*'VALOR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'!J62+(MAX(0,$C186-0.06*'VALOR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'!$D$149-$D186)</f>
        <v>19964.125821818187</v>
      </c>
      <c r="K186" s="621">
        <f>(('VALOR POSTOS MÊS '!K40+('VALOR POSTOS MÊS '!K48+'VALOR POSTOS MÊS '!K62+(MAX(0,$C186-0.06*'VALOR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'!K62+(MAX(0,$C186-0.06*'VALOR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'!$D$149-$D186)</f>
        <v>10555.705821818183</v>
      </c>
      <c r="L186" s="621">
        <f>(('VALOR POSTOS MÊS '!L40+('VALOR POSTOS MÊS '!L48+'VALOR POSTOS MÊS '!L62+(MAX(0,$C186-0.06*'VALOR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'!L62+(MAX(0,$C186-0.06*'VALOR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'!$D$149-$D186)</f>
        <v>10285.696730909092</v>
      </c>
      <c r="M186" s="604">
        <f>'CADASTRO V-T e ISS'!H186</f>
        <v>1</v>
      </c>
      <c r="N186" s="604">
        <f>'CADASTRO V-T e ISS'!I186</f>
        <v>1</v>
      </c>
      <c r="O186" s="604">
        <f>'CADASTRO V-T e ISS'!J186</f>
        <v>0</v>
      </c>
      <c r="P186" s="604">
        <f>'CADASTRO V-T e ISS'!K186</f>
        <v>0</v>
      </c>
      <c r="Q186" s="604">
        <f>'CADASTRO V-T e ISS'!L186</f>
        <v>0</v>
      </c>
      <c r="R186" s="604">
        <f>'CADASTRO V-T e ISS'!M186</f>
        <v>0</v>
      </c>
      <c r="S186" s="604">
        <f>'CADASTRO V-T e ISS'!N186</f>
        <v>0</v>
      </c>
      <c r="T186" s="604">
        <f>'CADASTRO V-T e ISS'!O186</f>
        <v>0</v>
      </c>
      <c r="U186" s="608">
        <f t="shared" si="20"/>
        <v>16710.473461818183</v>
      </c>
      <c r="V186" s="608">
        <f t="shared" si="21"/>
        <v>334.20946923636365</v>
      </c>
      <c r="W186" s="608">
        <f t="shared" si="22"/>
        <v>17044.682931054547</v>
      </c>
      <c r="X186" s="608">
        <f t="shared" si="23"/>
        <v>409072.39034530916</v>
      </c>
    </row>
    <row r="187" spans="1:24">
      <c r="A187" s="604">
        <f>'CADASTRO V-T e ISS'!A187</f>
        <v>182</v>
      </c>
      <c r="B187" s="605" t="str">
        <f>'CADASTRO V-T e ISS'!B187</f>
        <v>Varjota</v>
      </c>
      <c r="C187" s="606">
        <f>IF('CADASTRO V-T e ISS'!C187="SIM",'CADASTRO V-T e ISS'!D187*'CADASTRO V-T e ISS'!E187*'CADASTRO V-T e ISS'!F187,0)</f>
        <v>0</v>
      </c>
      <c r="D187" s="607">
        <f>'CADASTRO V-T e ISS'!G187</f>
        <v>0</v>
      </c>
      <c r="E187" s="621">
        <f>(('VALOR POSTOS MÊS '!E40+('VALOR POSTOS MÊS '!E48+'VALOR POSTOS MÊS '!E62+(MAX(0,$C187-0.06*'VALOR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'!E62+(MAX(0,$C187-0.06*'VALOR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'!$D$149-$D187)</f>
        <v>8428.8640036363649</v>
      </c>
      <c r="F187" s="621">
        <f>(('VALOR POSTOS MÊS '!F40+('VALOR POSTOS MÊS '!F48+'VALOR POSTOS MÊS '!F62+(MAX(0,$C187-0.06*'VALOR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'!F62+(MAX(0,$C187-0.06*'VALOR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'!$D$149-$D187)</f>
        <v>8281.6094581818197</v>
      </c>
      <c r="G187" s="621">
        <f>(('VALOR POSTOS MÊS '!G40+('VALOR POSTOS MÊS '!G48+'VALOR POSTOS MÊS '!G62+(MAX(0,$C187-0.06*'VALOR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'!G62+(MAX(0,$C187-0.06*'VALOR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'!$D$149-$D187)</f>
        <v>10267.560367272728</v>
      </c>
      <c r="H187" s="621">
        <f>(('VALOR POSTOS MÊS '!H40+('VALOR POSTOS MÊS '!H48+'VALOR POSTOS MÊS '!H62+(MAX(0,$C187-0.06*'VALOR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'!H62+(MAX(0,$C187-0.06*'VALOR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'!$D$149-$D187)</f>
        <v>12184.771276363639</v>
      </c>
      <c r="I187" s="621">
        <f>(('VALOR POSTOS MÊS '!I40+('VALOR POSTOS MÊS '!I48+'VALOR POSTOS MÊS '!I62+(MAX(0,$C187-0.06*'VALOR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'!I62+(MAX(0,$C187-0.06*'VALOR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'!$D$149-$D187)</f>
        <v>15820.113094545455</v>
      </c>
      <c r="J187" s="621">
        <f>(('VALOR POSTOS MÊS '!J40+('VALOR POSTOS MÊS '!J48+'VALOR POSTOS MÊS '!J62+(MAX(0,$C187-0.06*'VALOR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'!J62+(MAX(0,$C187-0.06*'VALOR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'!$D$149-$D187)</f>
        <v>19964.125821818187</v>
      </c>
      <c r="K187" s="621">
        <f>(('VALOR POSTOS MÊS '!K40+('VALOR POSTOS MÊS '!K48+'VALOR POSTOS MÊS '!K62+(MAX(0,$C187-0.06*'VALOR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'!K62+(MAX(0,$C187-0.06*'VALOR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'!$D$149-$D187)</f>
        <v>10555.705821818183</v>
      </c>
      <c r="L187" s="621">
        <f>(('VALOR POSTOS MÊS '!L40+('VALOR POSTOS MÊS '!L48+'VALOR POSTOS MÊS '!L62+(MAX(0,$C187-0.06*'VALOR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'!L62+(MAX(0,$C187-0.06*'VALOR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'!$D$149-$D187)</f>
        <v>10285.696730909092</v>
      </c>
      <c r="M187" s="604">
        <f>'CADASTRO V-T e ISS'!H187</f>
        <v>0</v>
      </c>
      <c r="N187" s="604">
        <f>'CADASTRO V-T e ISS'!I187</f>
        <v>0</v>
      </c>
      <c r="O187" s="604">
        <f>'CADASTRO V-T e ISS'!J187</f>
        <v>0</v>
      </c>
      <c r="P187" s="604">
        <f>'CADASTRO V-T e ISS'!K187</f>
        <v>0</v>
      </c>
      <c r="Q187" s="604">
        <f>'CADASTRO V-T e ISS'!L187</f>
        <v>0</v>
      </c>
      <c r="R187" s="604">
        <f>'CADASTRO V-T e ISS'!M187</f>
        <v>0</v>
      </c>
      <c r="S187" s="604">
        <f>'CADASTRO V-T e ISS'!N187</f>
        <v>0</v>
      </c>
      <c r="T187" s="604">
        <f>'CADASTRO V-T e ISS'!O187</f>
        <v>0</v>
      </c>
      <c r="U187" s="608">
        <f t="shared" si="20"/>
        <v>0</v>
      </c>
      <c r="V187" s="608">
        <f t="shared" si="21"/>
        <v>0</v>
      </c>
      <c r="W187" s="608">
        <f t="shared" si="22"/>
        <v>0</v>
      </c>
      <c r="X187" s="608">
        <f t="shared" si="23"/>
        <v>0</v>
      </c>
    </row>
    <row r="188" spans="1:24">
      <c r="A188" s="604">
        <f>'CADASTRO V-T e ISS'!A188</f>
        <v>183</v>
      </c>
      <c r="B188" s="605" t="str">
        <f>'CADASTRO V-T e ISS'!B188</f>
        <v>Várzea Alegre</v>
      </c>
      <c r="C188" s="606">
        <f>IF('CADASTRO V-T e ISS'!C188="SIM",'CADASTRO V-T e ISS'!D188*'CADASTRO V-T e ISS'!E188*'CADASTRO V-T e ISS'!F188,0)</f>
        <v>0</v>
      </c>
      <c r="D188" s="607">
        <f>'CADASTRO V-T e ISS'!G188</f>
        <v>0</v>
      </c>
      <c r="E188" s="621">
        <f>(('VALOR POSTOS MÊS '!E40+('VALOR POSTOS MÊS '!E48+'VALOR POSTOS MÊS '!E62+(MAX(0,$C188-0.06*'VALOR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'!E62+(MAX(0,$C188-0.06*'VALOR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'!$D$149-$D188)</f>
        <v>8428.8640036363649</v>
      </c>
      <c r="F188" s="621">
        <f>(('VALOR POSTOS MÊS '!F40+('VALOR POSTOS MÊS '!F48+'VALOR POSTOS MÊS '!F62+(MAX(0,$C188-0.06*'VALOR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'!F62+(MAX(0,$C188-0.06*'VALOR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'!$D$149-$D188)</f>
        <v>8281.6094581818197</v>
      </c>
      <c r="G188" s="621">
        <f>(('VALOR POSTOS MÊS '!G40+('VALOR POSTOS MÊS '!G48+'VALOR POSTOS MÊS '!G62+(MAX(0,$C188-0.06*'VALOR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'!G62+(MAX(0,$C188-0.06*'VALOR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'!$D$149-$D188)</f>
        <v>10267.560367272728</v>
      </c>
      <c r="H188" s="621">
        <f>(('VALOR POSTOS MÊS '!H40+('VALOR POSTOS MÊS '!H48+'VALOR POSTOS MÊS '!H62+(MAX(0,$C188-0.06*'VALOR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'!H62+(MAX(0,$C188-0.06*'VALOR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'!$D$149-$D188)</f>
        <v>12184.771276363639</v>
      </c>
      <c r="I188" s="621">
        <f>(('VALOR POSTOS MÊS '!I40+('VALOR POSTOS MÊS '!I48+'VALOR POSTOS MÊS '!I62+(MAX(0,$C188-0.06*'VALOR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'!I62+(MAX(0,$C188-0.06*'VALOR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'!$D$149-$D188)</f>
        <v>15820.113094545455</v>
      </c>
      <c r="J188" s="621">
        <f>(('VALOR POSTOS MÊS '!J40+('VALOR POSTOS MÊS '!J48+'VALOR POSTOS MÊS '!J62+(MAX(0,$C188-0.06*'VALOR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'!J62+(MAX(0,$C188-0.06*'VALOR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'!$D$149-$D188)</f>
        <v>19964.125821818187</v>
      </c>
      <c r="K188" s="621">
        <f>(('VALOR POSTOS MÊS '!K40+('VALOR POSTOS MÊS '!K48+'VALOR POSTOS MÊS '!K62+(MAX(0,$C188-0.06*'VALOR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'!K62+(MAX(0,$C188-0.06*'VALOR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'!$D$149-$D188)</f>
        <v>10555.705821818183</v>
      </c>
      <c r="L188" s="621">
        <f>(('VALOR POSTOS MÊS '!L40+('VALOR POSTOS MÊS '!L48+'VALOR POSTOS MÊS '!L62+(MAX(0,$C188-0.06*'VALOR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'!L62+(MAX(0,$C188-0.06*'VALOR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'!$D$149-$D188)</f>
        <v>10285.696730909092</v>
      </c>
      <c r="M188" s="604">
        <f>'CADASTRO V-T e ISS'!H188</f>
        <v>1</v>
      </c>
      <c r="N188" s="604">
        <f>'CADASTRO V-T e ISS'!I188</f>
        <v>2</v>
      </c>
      <c r="O188" s="604">
        <f>'CADASTRO V-T e ISS'!J188</f>
        <v>0</v>
      </c>
      <c r="P188" s="604">
        <f>'CADASTRO V-T e ISS'!K188</f>
        <v>0</v>
      </c>
      <c r="Q188" s="604">
        <f>'CADASTRO V-T e ISS'!L188</f>
        <v>0</v>
      </c>
      <c r="R188" s="604">
        <f>'CADASTRO V-T e ISS'!M188</f>
        <v>0</v>
      </c>
      <c r="S188" s="604">
        <f>'CADASTRO V-T e ISS'!N188</f>
        <v>0</v>
      </c>
      <c r="T188" s="604">
        <f>'CADASTRO V-T e ISS'!O188</f>
        <v>0</v>
      </c>
      <c r="U188" s="608">
        <f t="shared" si="20"/>
        <v>24992.082920000004</v>
      </c>
      <c r="V188" s="608">
        <f t="shared" si="21"/>
        <v>499.84165840000009</v>
      </c>
      <c r="W188" s="608">
        <f t="shared" si="22"/>
        <v>25491.924578400005</v>
      </c>
      <c r="X188" s="608">
        <f t="shared" si="23"/>
        <v>611806.18988160009</v>
      </c>
    </row>
    <row r="189" spans="1:24">
      <c r="A189" s="604">
        <f>'CADASTRO V-T e ISS'!A189</f>
        <v>184</v>
      </c>
      <c r="B189" s="605" t="str">
        <f>'CADASTRO V-T e ISS'!B189</f>
        <v>Viçosa do Ceará</v>
      </c>
      <c r="C189" s="606">
        <f>IF('CADASTRO V-T e ISS'!C189="SIM",'CADASTRO V-T e ISS'!D189*'CADASTRO V-T e ISS'!E189*'CADASTRO V-T e ISS'!F189,0)</f>
        <v>0</v>
      </c>
      <c r="D189" s="607">
        <f>'CADASTRO V-T e ISS'!G189</f>
        <v>0</v>
      </c>
      <c r="E189" s="621">
        <f>(('VALOR POSTOS MÊS '!E40+('VALOR POSTOS MÊS '!E48+'VALOR POSTOS MÊS '!E62+(MAX(0,$C189-0.06*'VALOR POSTOS MÊS '!E24)+'VALOR POSTOS MÊS '!E78+'VALOR POSTOS MÊS '!E82+'VALOR POSTOS MÊS '!E83+'VALOR POSTOS MÊS '!E84+'VALOR POSTOS MÊS '!E85))+'VALOR POSTOS MÊS '!E100+'VALOR POSTOS MÊS '!E121+'VALOR POSTOS MÊS '!E137)+('VALOR POSTOS MÊS '!E40+('VALOR POSTOS MÊS '!E48+'VALOR POSTOS MÊS '!E62+(MAX(0,$C189-0.06*'VALOR POSTOS MÊS '!E24)+'VALOR POSTOS MÊS '!E78+'VALOR POSTOS MÊS '!E82+'VALOR POSTOS MÊS '!E83+'VALOR POSTOS MÊS '!E84+'VALOR POSTOS MÊS '!E85))+'VALOR POSTOS MÊS '!E100+'VALOR POSTOS MÊS '!E121+'VALOR POSTOS MÊS '!E137)*((1+'VALOR POSTOS MÊS '!$D$142)*(1+'VALOR POSTOS MÊS '!$D$143)-1))/(1-'VALOR POSTOS MÊS '!$D$148-'VALOR POSTOS MÊS '!$D$149-$D189)</f>
        <v>8428.8640036363649</v>
      </c>
      <c r="F189" s="621">
        <f>(('VALOR POSTOS MÊS '!F40+('VALOR POSTOS MÊS '!F48+'VALOR POSTOS MÊS '!F62+(MAX(0,$C189-0.06*'VALOR POSTOS MÊS '!F24)+'VALOR POSTOS MÊS '!F78+'VALOR POSTOS MÊS '!F82+'VALOR POSTOS MÊS '!F83+'VALOR POSTOS MÊS '!F84+'VALOR POSTOS MÊS '!F85))+'VALOR POSTOS MÊS '!F100+'VALOR POSTOS MÊS '!F121+'VALOR POSTOS MÊS '!F137)+('VALOR POSTOS MÊS '!F40+('VALOR POSTOS MÊS '!F48+'VALOR POSTOS MÊS '!F62+(MAX(0,$C189-0.06*'VALOR POSTOS MÊS '!F24)+'VALOR POSTOS MÊS '!F78+'VALOR POSTOS MÊS '!F82+'VALOR POSTOS MÊS '!F83+'VALOR POSTOS MÊS '!F84+'VALOR POSTOS MÊS '!F85))+'VALOR POSTOS MÊS '!F100+'VALOR POSTOS MÊS '!F121+'VALOR POSTOS MÊS '!F137)*((1+'VALOR POSTOS MÊS '!$D$142)*(1+'VALOR POSTOS MÊS '!$D$143)-1))/(1-'VALOR POSTOS MÊS '!$D$148-'VALOR POSTOS MÊS '!$D$149-$D189)</f>
        <v>8281.6094581818197</v>
      </c>
      <c r="G189" s="621">
        <f>(('VALOR POSTOS MÊS '!G40+('VALOR POSTOS MÊS '!G48+'VALOR POSTOS MÊS '!G62+(MAX(0,$C189-0.06*'VALOR POSTOS MÊS '!G24)+'VALOR POSTOS MÊS '!G78+'VALOR POSTOS MÊS '!G82+'VALOR POSTOS MÊS '!G83+'VALOR POSTOS MÊS '!G84+'VALOR POSTOS MÊS '!G85))+'VALOR POSTOS MÊS '!G100+'VALOR POSTOS MÊS '!G121+'VALOR POSTOS MÊS '!G137)+('VALOR POSTOS MÊS '!G40+('VALOR POSTOS MÊS '!G48+'VALOR POSTOS MÊS '!G62+(MAX(0,$C189-0.06*'VALOR POSTOS MÊS '!G24)+'VALOR POSTOS MÊS '!G78+'VALOR POSTOS MÊS '!G82+'VALOR POSTOS MÊS '!G83+'VALOR POSTOS MÊS '!G84+'VALOR POSTOS MÊS '!G85))+'VALOR POSTOS MÊS '!G100+'VALOR POSTOS MÊS '!G121+'VALOR POSTOS MÊS '!G137)*((1+'VALOR POSTOS MÊS '!$D$142)*(1+'VALOR POSTOS MÊS '!$D$143)-1))/(1-'VALOR POSTOS MÊS '!$D$148-'VALOR POSTOS MÊS '!$D$149-$D189)</f>
        <v>10267.560367272728</v>
      </c>
      <c r="H189" s="621">
        <f>(('VALOR POSTOS MÊS '!H40+('VALOR POSTOS MÊS '!H48+'VALOR POSTOS MÊS '!H62+(MAX(0,$C189-0.06*'VALOR POSTOS MÊS '!H24)+'VALOR POSTOS MÊS '!H78+'VALOR POSTOS MÊS '!H82+'VALOR POSTOS MÊS '!H83+'VALOR POSTOS MÊS '!H84+'VALOR POSTOS MÊS '!H85))+'VALOR POSTOS MÊS '!H100+'VALOR POSTOS MÊS '!H121+'VALOR POSTOS MÊS '!H137)+('VALOR POSTOS MÊS '!H40+('VALOR POSTOS MÊS '!H48+'VALOR POSTOS MÊS '!H62+(MAX(0,$C189-0.06*'VALOR POSTOS MÊS '!H24)+'VALOR POSTOS MÊS '!H78+'VALOR POSTOS MÊS '!H82+'VALOR POSTOS MÊS '!H83+'VALOR POSTOS MÊS '!H84+'VALOR POSTOS MÊS '!H85))+'VALOR POSTOS MÊS '!H100+'VALOR POSTOS MÊS '!H121+'VALOR POSTOS MÊS '!H137)*((1+'VALOR POSTOS MÊS '!$D$142)*(1+'VALOR POSTOS MÊS '!$D$143)-1))/(1-'VALOR POSTOS MÊS '!$D$148-'VALOR POSTOS MÊS '!$D$149-$D189)</f>
        <v>12184.771276363639</v>
      </c>
      <c r="I189" s="621">
        <f>(('VALOR POSTOS MÊS '!I40+('VALOR POSTOS MÊS '!I48+'VALOR POSTOS MÊS '!I62+(MAX(0,$C189-0.06*'VALOR POSTOS MÊS '!I24)+'VALOR POSTOS MÊS '!I78+'VALOR POSTOS MÊS '!I82+'VALOR POSTOS MÊS '!I83+'VALOR POSTOS MÊS '!I84+'VALOR POSTOS MÊS '!I85))+'VALOR POSTOS MÊS '!I100+'VALOR POSTOS MÊS '!I121+'VALOR POSTOS MÊS '!I137)+('VALOR POSTOS MÊS '!I40+('VALOR POSTOS MÊS '!I48+'VALOR POSTOS MÊS '!I62+(MAX(0,$C189-0.06*'VALOR POSTOS MÊS '!I24)+'VALOR POSTOS MÊS '!I78+'VALOR POSTOS MÊS '!I82+'VALOR POSTOS MÊS '!I83+'VALOR POSTOS MÊS '!I84+'VALOR POSTOS MÊS '!I85))+'VALOR POSTOS MÊS '!I100+'VALOR POSTOS MÊS '!I121+'VALOR POSTOS MÊS '!I137)*((1+'VALOR POSTOS MÊS '!$D$142)*(1+'VALOR POSTOS MÊS '!$D$143)-1))/(1-'VALOR POSTOS MÊS '!$D$148-'VALOR POSTOS MÊS '!$D$149-$D189)</f>
        <v>15820.113094545455</v>
      </c>
      <c r="J189" s="621">
        <f>(('VALOR POSTOS MÊS '!J40+('VALOR POSTOS MÊS '!J48+'VALOR POSTOS MÊS '!J62+(MAX(0,$C189-0.06*'VALOR POSTOS MÊS '!J24)+'VALOR POSTOS MÊS '!J78+'VALOR POSTOS MÊS '!J82+'VALOR POSTOS MÊS '!J83+'VALOR POSTOS MÊS '!J84+'VALOR POSTOS MÊS '!J85))+'VALOR POSTOS MÊS '!J100+'VALOR POSTOS MÊS '!J121+'VALOR POSTOS MÊS '!J137)+('VALOR POSTOS MÊS '!J40+('VALOR POSTOS MÊS '!J48+'VALOR POSTOS MÊS '!J62+(MAX(0,$C189-0.06*'VALOR POSTOS MÊS '!J24)+'VALOR POSTOS MÊS '!J78+'VALOR POSTOS MÊS '!J82+'VALOR POSTOS MÊS '!J83+'VALOR POSTOS MÊS '!J84+'VALOR POSTOS MÊS '!J85))+'VALOR POSTOS MÊS '!J100+'VALOR POSTOS MÊS '!J121+'VALOR POSTOS MÊS '!J137)*((1+'VALOR POSTOS MÊS '!$D$142)*(1+'VALOR POSTOS MÊS '!$D$143)-1))/(1-'VALOR POSTOS MÊS '!$D$148-'VALOR POSTOS MÊS '!$D$149-$D189)</f>
        <v>19964.125821818187</v>
      </c>
      <c r="K189" s="621">
        <f>(('VALOR POSTOS MÊS '!K40+('VALOR POSTOS MÊS '!K48+'VALOR POSTOS MÊS '!K62+(MAX(0,$C189-0.06*'VALOR POSTOS MÊS '!K24)+'VALOR POSTOS MÊS '!K78+'VALOR POSTOS MÊS '!K82+'VALOR POSTOS MÊS '!K83+'VALOR POSTOS MÊS '!K84+'VALOR POSTOS MÊS '!K85))+'VALOR POSTOS MÊS '!K100+'VALOR POSTOS MÊS '!K121+'VALOR POSTOS MÊS '!K137)+('VALOR POSTOS MÊS '!K40+('VALOR POSTOS MÊS '!K48+'VALOR POSTOS MÊS '!K62+(MAX(0,$C189-0.06*'VALOR POSTOS MÊS '!K24)+'VALOR POSTOS MÊS '!K78+'VALOR POSTOS MÊS '!K82+'VALOR POSTOS MÊS '!K83+'VALOR POSTOS MÊS '!K84+'VALOR POSTOS MÊS '!K85))+'VALOR POSTOS MÊS '!K100+'VALOR POSTOS MÊS '!K121+'VALOR POSTOS MÊS '!K137)*((1+'VALOR POSTOS MÊS '!$D$142)*(1+'VALOR POSTOS MÊS '!$D$143)-1))/(1-'VALOR POSTOS MÊS '!$D$148-'VALOR POSTOS MÊS '!$D$149-$D189)</f>
        <v>10555.705821818183</v>
      </c>
      <c r="L189" s="621">
        <f>(('VALOR POSTOS MÊS '!L40+('VALOR POSTOS MÊS '!L48+'VALOR POSTOS MÊS '!L62+(MAX(0,$C189-0.06*'VALOR POSTOS MÊS '!L24)+'VALOR POSTOS MÊS '!L78+'VALOR POSTOS MÊS '!L82+'VALOR POSTOS MÊS '!L83+'VALOR POSTOS MÊS '!L84+'VALOR POSTOS MÊS '!L85))+'VALOR POSTOS MÊS '!L100+'VALOR POSTOS MÊS '!L121+'VALOR POSTOS MÊS '!L137)+('VALOR POSTOS MÊS '!L40+('VALOR POSTOS MÊS '!L48+'VALOR POSTOS MÊS '!L62+(MAX(0,$C189-0.06*'VALOR POSTOS MÊS '!L24)+'VALOR POSTOS MÊS '!L78+'VALOR POSTOS MÊS '!L82+'VALOR POSTOS MÊS '!L83+'VALOR POSTOS MÊS '!L84+'VALOR POSTOS MÊS '!L85))+'VALOR POSTOS MÊS '!L100+'VALOR POSTOS MÊS '!L121+'VALOR POSTOS MÊS '!L137)*((1+'VALOR POSTOS MÊS '!$D$142)*(1+'VALOR POSTOS MÊS '!$D$143)-1))/(1-'VALOR POSTOS MÊS '!$D$148-'VALOR POSTOS MÊS '!$D$149-$D189)</f>
        <v>10285.696730909092</v>
      </c>
      <c r="M189" s="604">
        <f>'CADASTRO V-T e ISS'!H189</f>
        <v>1</v>
      </c>
      <c r="N189" s="604">
        <f>'CADASTRO V-T e ISS'!I189</f>
        <v>2</v>
      </c>
      <c r="O189" s="604">
        <f>'CADASTRO V-T e ISS'!J189</f>
        <v>0</v>
      </c>
      <c r="P189" s="604">
        <f>'CADASTRO V-T e ISS'!K189</f>
        <v>0</v>
      </c>
      <c r="Q189" s="604">
        <f>'CADASTRO V-T e ISS'!L189</f>
        <v>0</v>
      </c>
      <c r="R189" s="604">
        <f>'CADASTRO V-T e ISS'!M189</f>
        <v>0</v>
      </c>
      <c r="S189" s="604">
        <f>'CADASTRO V-T e ISS'!N189</f>
        <v>0</v>
      </c>
      <c r="T189" s="604">
        <f>'CADASTRO V-T e ISS'!O189</f>
        <v>0</v>
      </c>
      <c r="U189" s="608">
        <f t="shared" si="20"/>
        <v>24992.082920000004</v>
      </c>
      <c r="V189" s="608">
        <f t="shared" si="21"/>
        <v>499.84165840000009</v>
      </c>
      <c r="W189" s="608">
        <f t="shared" si="22"/>
        <v>25491.924578400005</v>
      </c>
      <c r="X189" s="608">
        <f t="shared" si="23"/>
        <v>611806.18988160009</v>
      </c>
    </row>
    <row r="190" spans="1:24">
      <c r="A190" s="609"/>
      <c r="B190" s="610" t="s">
        <v>763</v>
      </c>
      <c r="C190" s="609"/>
      <c r="D190" s="609"/>
      <c r="E190" s="609"/>
      <c r="F190" s="609"/>
      <c r="G190" s="609"/>
      <c r="H190" s="609"/>
      <c r="I190" s="609"/>
      <c r="J190" s="609"/>
      <c r="K190" s="609"/>
      <c r="L190" s="609"/>
      <c r="M190" s="599">
        <f t="shared" ref="M190:X190" si="24">SUM(M6:M189)</f>
        <v>221</v>
      </c>
      <c r="N190" s="599">
        <f t="shared" si="24"/>
        <v>362</v>
      </c>
      <c r="O190" s="599">
        <f t="shared" si="24"/>
        <v>133</v>
      </c>
      <c r="P190" s="599">
        <f t="shared" si="24"/>
        <v>52</v>
      </c>
      <c r="Q190" s="599">
        <f t="shared" si="24"/>
        <v>16</v>
      </c>
      <c r="R190" s="599">
        <f t="shared" si="24"/>
        <v>5</v>
      </c>
      <c r="S190" s="599">
        <f t="shared" si="24"/>
        <v>21</v>
      </c>
      <c r="T190" s="599">
        <f t="shared" si="24"/>
        <v>14</v>
      </c>
      <c r="U190" s="611">
        <f t="shared" si="24"/>
        <v>7578527.2189963562</v>
      </c>
      <c r="V190" s="611">
        <f t="shared" si="24"/>
        <v>151570.54437992716</v>
      </c>
      <c r="W190" s="611">
        <f t="shared" si="24"/>
        <v>7730097.7633762956</v>
      </c>
      <c r="X190" s="611">
        <f t="shared" si="24"/>
        <v>185522346.32103068</v>
      </c>
    </row>
  </sheetData>
  <sheetProtection sheet="1" objects="1" scenarios="1"/>
  <mergeCells count="7">
    <mergeCell ref="A1:X1"/>
    <mergeCell ref="A2:X2"/>
    <mergeCell ref="A4:B4"/>
    <mergeCell ref="C4:D4"/>
    <mergeCell ref="E4:L4"/>
    <mergeCell ref="M4:T4"/>
    <mergeCell ref="U4:X4"/>
  </mergeCells>
  <pageMargins left="0.75" right="0.75" top="1" bottom="1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000"/>
    <pageSetUpPr fitToPage="1"/>
  </sheetPr>
  <dimension ref="A1:G198"/>
  <sheetViews>
    <sheetView tabSelected="1" zoomScaleNormal="100" workbookViewId="0">
      <pane xSplit="2" ySplit="4" topLeftCell="C185" activePane="bottomRight" state="frozen"/>
      <selection pane="bottomRight"/>
      <selection pane="bottomLeft" activeCell="A5" sqref="A5"/>
      <selection pane="topRight" activeCell="C1" sqref="C1"/>
    </sheetView>
  </sheetViews>
  <sheetFormatPr defaultColWidth="8.7109375" defaultRowHeight="15"/>
  <cols>
    <col min="1" max="1" width="5" customWidth="1"/>
    <col min="2" max="2" width="32" customWidth="1"/>
    <col min="3" max="4" width="13" customWidth="1"/>
    <col min="5" max="5" width="20" customWidth="1"/>
    <col min="6" max="6" width="18" customWidth="1"/>
    <col min="7" max="7" width="22" customWidth="1"/>
  </cols>
  <sheetData>
    <row r="1" spans="1:7" ht="27.75" customHeight="1">
      <c r="A1" s="649" t="s">
        <v>779</v>
      </c>
      <c r="B1" s="649"/>
      <c r="C1" s="649"/>
      <c r="D1" s="649"/>
      <c r="E1" s="649"/>
      <c r="F1" s="649"/>
      <c r="G1" s="649"/>
    </row>
    <row r="2" spans="1:7" ht="27.75" customHeight="1">
      <c r="A2" s="650" t="s">
        <v>780</v>
      </c>
      <c r="B2" s="650"/>
      <c r="C2" s="650"/>
      <c r="D2" s="650"/>
      <c r="E2" s="650"/>
      <c r="F2" s="650"/>
      <c r="G2" s="650"/>
    </row>
    <row r="4" spans="1:7" ht="36" customHeight="1">
      <c r="A4" s="612" t="s">
        <v>562</v>
      </c>
      <c r="B4" s="612" t="s">
        <v>563</v>
      </c>
      <c r="C4" s="612" t="s">
        <v>781</v>
      </c>
      <c r="D4" s="612" t="s">
        <v>568</v>
      </c>
      <c r="E4" s="612" t="s">
        <v>782</v>
      </c>
      <c r="F4" s="612" t="s">
        <v>783</v>
      </c>
      <c r="G4" s="612" t="s">
        <v>784</v>
      </c>
    </row>
    <row r="5" spans="1:7">
      <c r="A5" s="604">
        <f>'CADASTRO V-T e ISS'!A6</f>
        <v>1</v>
      </c>
      <c r="B5" s="605" t="str">
        <f>'CADASTRO V-T e ISS'!B6</f>
        <v>Abaiara</v>
      </c>
      <c r="C5" s="604">
        <f>'CADASTRO V-T e ISS'!P6</f>
        <v>0</v>
      </c>
      <c r="D5" s="607">
        <f>'CADASTRO V-T e ISS'!G6</f>
        <v>0</v>
      </c>
      <c r="E5" s="613">
        <f>'CUSTO POR MUNICÍPIO'!U6</f>
        <v>0</v>
      </c>
      <c r="F5" s="613">
        <f>'CUSTO POR MUNICÍPIO'!V6</f>
        <v>0</v>
      </c>
      <c r="G5" s="613">
        <f>'CUSTO POR MUNICÍPIO'!W6</f>
        <v>0</v>
      </c>
    </row>
    <row r="6" spans="1:7">
      <c r="A6" s="604">
        <f>'CADASTRO V-T e ISS'!A7</f>
        <v>2</v>
      </c>
      <c r="B6" s="605" t="str">
        <f>'CADASTRO V-T e ISS'!B7</f>
        <v>Acarape</v>
      </c>
      <c r="C6" s="604">
        <f>'CADASTRO V-T e ISS'!P7</f>
        <v>0</v>
      </c>
      <c r="D6" s="607">
        <f>'CADASTRO V-T e ISS'!G7</f>
        <v>0</v>
      </c>
      <c r="E6" s="613">
        <f>'CUSTO POR MUNICÍPIO'!U7</f>
        <v>0</v>
      </c>
      <c r="F6" s="613">
        <f>'CUSTO POR MUNICÍPIO'!V7</f>
        <v>0</v>
      </c>
      <c r="G6" s="613">
        <f>'CUSTO POR MUNICÍPIO'!W7</f>
        <v>0</v>
      </c>
    </row>
    <row r="7" spans="1:7">
      <c r="A7" s="604">
        <f>'CADASTRO V-T e ISS'!A8</f>
        <v>3</v>
      </c>
      <c r="B7" s="605" t="str">
        <f>'CADASTRO V-T e ISS'!B8</f>
        <v>Acaraú</v>
      </c>
      <c r="C7" s="604">
        <f>'CADASTRO V-T e ISS'!P8</f>
        <v>3</v>
      </c>
      <c r="D7" s="607">
        <f>'CADASTRO V-T e ISS'!G8</f>
        <v>0</v>
      </c>
      <c r="E7" s="613">
        <f>'CUSTO POR MUNICÍPIO'!U8</f>
        <v>24992.082920000004</v>
      </c>
      <c r="F7" s="613">
        <f>'CUSTO POR MUNICÍPIO'!V8</f>
        <v>499.84165840000009</v>
      </c>
      <c r="G7" s="613">
        <f>'CUSTO POR MUNICÍPIO'!W8</f>
        <v>25491.924578400005</v>
      </c>
    </row>
    <row r="8" spans="1:7">
      <c r="A8" s="604">
        <f>'CADASTRO V-T e ISS'!A9</f>
        <v>4</v>
      </c>
      <c r="B8" s="605" t="str">
        <f>'CADASTRO V-T e ISS'!B9</f>
        <v>Acopiara</v>
      </c>
      <c r="C8" s="604">
        <f>'CADASTRO V-T e ISS'!P9</f>
        <v>3</v>
      </c>
      <c r="D8" s="607">
        <f>'CADASTRO V-T e ISS'!G9</f>
        <v>0</v>
      </c>
      <c r="E8" s="613">
        <f>'CUSTO POR MUNICÍPIO'!U9</f>
        <v>24992.082920000004</v>
      </c>
      <c r="F8" s="613">
        <f>'CUSTO POR MUNICÍPIO'!V9</f>
        <v>499.84165840000009</v>
      </c>
      <c r="G8" s="613">
        <f>'CUSTO POR MUNICÍPIO'!W9</f>
        <v>25491.924578400005</v>
      </c>
    </row>
    <row r="9" spans="1:7">
      <c r="A9" s="604">
        <f>'CADASTRO V-T e ISS'!A10</f>
        <v>5</v>
      </c>
      <c r="B9" s="605" t="str">
        <f>'CADASTRO V-T e ISS'!B10</f>
        <v>Aiuaba</v>
      </c>
      <c r="C9" s="604">
        <f>'CADASTRO V-T e ISS'!P10</f>
        <v>2</v>
      </c>
      <c r="D9" s="607">
        <f>'CADASTRO V-T e ISS'!G10</f>
        <v>0</v>
      </c>
      <c r="E9" s="613">
        <f>'CUSTO POR MUNICÍPIO'!U10</f>
        <v>16710.473461818183</v>
      </c>
      <c r="F9" s="613">
        <f>'CUSTO POR MUNICÍPIO'!V10</f>
        <v>334.20946923636365</v>
      </c>
      <c r="G9" s="613">
        <f>'CUSTO POR MUNICÍPIO'!W10</f>
        <v>17044.682931054547</v>
      </c>
    </row>
    <row r="10" spans="1:7">
      <c r="A10" s="604">
        <f>'CADASTRO V-T e ISS'!A11</f>
        <v>6</v>
      </c>
      <c r="B10" s="605" t="str">
        <f>'CADASTRO V-T e ISS'!B11</f>
        <v>Alcântaras</v>
      </c>
      <c r="C10" s="604">
        <f>'CADASTRO V-T e ISS'!P11</f>
        <v>0</v>
      </c>
      <c r="D10" s="607">
        <f>'CADASTRO V-T e ISS'!G11</f>
        <v>0</v>
      </c>
      <c r="E10" s="613">
        <f>'CUSTO POR MUNICÍPIO'!U11</f>
        <v>0</v>
      </c>
      <c r="F10" s="613">
        <f>'CUSTO POR MUNICÍPIO'!V11</f>
        <v>0</v>
      </c>
      <c r="G10" s="613">
        <f>'CUSTO POR MUNICÍPIO'!W11</f>
        <v>0</v>
      </c>
    </row>
    <row r="11" spans="1:7">
      <c r="A11" s="604">
        <f>'CADASTRO V-T e ISS'!A12</f>
        <v>7</v>
      </c>
      <c r="B11" s="605" t="str">
        <f>'CADASTRO V-T e ISS'!B12</f>
        <v>Altaneira</v>
      </c>
      <c r="C11" s="604">
        <f>'CADASTRO V-T e ISS'!P12</f>
        <v>0</v>
      </c>
      <c r="D11" s="607">
        <f>'CADASTRO V-T e ISS'!G12</f>
        <v>0</v>
      </c>
      <c r="E11" s="613">
        <f>'CUSTO POR MUNICÍPIO'!U12</f>
        <v>0</v>
      </c>
      <c r="F11" s="613">
        <f>'CUSTO POR MUNICÍPIO'!V12</f>
        <v>0</v>
      </c>
      <c r="G11" s="613">
        <f>'CUSTO POR MUNICÍPIO'!W12</f>
        <v>0</v>
      </c>
    </row>
    <row r="12" spans="1:7">
      <c r="A12" s="604">
        <f>'CADASTRO V-T e ISS'!A13</f>
        <v>8</v>
      </c>
      <c r="B12" s="605" t="str">
        <f>'CADASTRO V-T e ISS'!B13</f>
        <v>Alto Santo</v>
      </c>
      <c r="C12" s="604">
        <f>'CADASTRO V-T e ISS'!P13</f>
        <v>2</v>
      </c>
      <c r="D12" s="607">
        <f>'CADASTRO V-T e ISS'!G13</f>
        <v>0</v>
      </c>
      <c r="E12" s="613">
        <f>'CUSTO POR MUNICÍPIO'!U13</f>
        <v>16710.473461818183</v>
      </c>
      <c r="F12" s="613">
        <f>'CUSTO POR MUNICÍPIO'!V13</f>
        <v>334.20946923636365</v>
      </c>
      <c r="G12" s="613">
        <f>'CUSTO POR MUNICÍPIO'!W13</f>
        <v>17044.682931054547</v>
      </c>
    </row>
    <row r="13" spans="1:7">
      <c r="A13" s="604">
        <f>'CADASTRO V-T e ISS'!A14</f>
        <v>9</v>
      </c>
      <c r="B13" s="605" t="str">
        <f>'CADASTRO V-T e ISS'!B14</f>
        <v>Amontada</v>
      </c>
      <c r="C13" s="604">
        <f>'CADASTRO V-T e ISS'!P14</f>
        <v>2</v>
      </c>
      <c r="D13" s="607">
        <f>'CADASTRO V-T e ISS'!G14</f>
        <v>0</v>
      </c>
      <c r="E13" s="613">
        <f>'CUSTO POR MUNICÍPIO'!U14</f>
        <v>16710.473461818183</v>
      </c>
      <c r="F13" s="613">
        <f>'CUSTO POR MUNICÍPIO'!V14</f>
        <v>334.20946923636365</v>
      </c>
      <c r="G13" s="613">
        <f>'CUSTO POR MUNICÍPIO'!W14</f>
        <v>17044.682931054547</v>
      </c>
    </row>
    <row r="14" spans="1:7">
      <c r="A14" s="604">
        <f>'CADASTRO V-T e ISS'!A15</f>
        <v>10</v>
      </c>
      <c r="B14" s="605" t="str">
        <f>'CADASTRO V-T e ISS'!B15</f>
        <v>Antonina do Norte</v>
      </c>
      <c r="C14" s="604">
        <f>'CADASTRO V-T e ISS'!P15</f>
        <v>0</v>
      </c>
      <c r="D14" s="607">
        <f>'CADASTRO V-T e ISS'!G15</f>
        <v>0</v>
      </c>
      <c r="E14" s="613">
        <f>'CUSTO POR MUNICÍPIO'!U15</f>
        <v>0</v>
      </c>
      <c r="F14" s="613">
        <f>'CUSTO POR MUNICÍPIO'!V15</f>
        <v>0</v>
      </c>
      <c r="G14" s="613">
        <f>'CUSTO POR MUNICÍPIO'!W15</f>
        <v>0</v>
      </c>
    </row>
    <row r="15" spans="1:7">
      <c r="A15" s="604">
        <f>'CADASTRO V-T e ISS'!A16</f>
        <v>11</v>
      </c>
      <c r="B15" s="605" t="str">
        <f>'CADASTRO V-T e ISS'!B16</f>
        <v>Apuiarés</v>
      </c>
      <c r="C15" s="604">
        <f>'CADASTRO V-T e ISS'!P16</f>
        <v>0</v>
      </c>
      <c r="D15" s="607">
        <f>'CADASTRO V-T e ISS'!G16</f>
        <v>0</v>
      </c>
      <c r="E15" s="613">
        <f>'CUSTO POR MUNICÍPIO'!U16</f>
        <v>0</v>
      </c>
      <c r="F15" s="613">
        <f>'CUSTO POR MUNICÍPIO'!V16</f>
        <v>0</v>
      </c>
      <c r="G15" s="613">
        <f>'CUSTO POR MUNICÍPIO'!W16</f>
        <v>0</v>
      </c>
    </row>
    <row r="16" spans="1:7">
      <c r="A16" s="604">
        <f>'CADASTRO V-T e ISS'!A17</f>
        <v>12</v>
      </c>
      <c r="B16" s="605" t="str">
        <f>'CADASTRO V-T e ISS'!B17</f>
        <v>Aquiraz</v>
      </c>
      <c r="C16" s="604">
        <f>'CADASTRO V-T e ISS'!P17</f>
        <v>3</v>
      </c>
      <c r="D16" s="607">
        <f>'CADASTRO V-T e ISS'!G17</f>
        <v>0</v>
      </c>
      <c r="E16" s="613">
        <f>'CUSTO POR MUNICÍPIO'!U17</f>
        <v>24992.082920000004</v>
      </c>
      <c r="F16" s="613">
        <f>'CUSTO POR MUNICÍPIO'!V17</f>
        <v>499.84165840000009</v>
      </c>
      <c r="G16" s="613">
        <f>'CUSTO POR MUNICÍPIO'!W17</f>
        <v>25491.924578400005</v>
      </c>
    </row>
    <row r="17" spans="1:7">
      <c r="A17" s="604">
        <f>'CADASTRO V-T e ISS'!A18</f>
        <v>13</v>
      </c>
      <c r="B17" s="605" t="str">
        <f>'CADASTRO V-T e ISS'!B18</f>
        <v>Aracati</v>
      </c>
      <c r="C17" s="604">
        <f>'CADASTRO V-T e ISS'!P18</f>
        <v>3</v>
      </c>
      <c r="D17" s="607">
        <f>'CADASTRO V-T e ISS'!G18</f>
        <v>0</v>
      </c>
      <c r="E17" s="613">
        <f>'CUSTO POR MUNICÍPIO'!U18</f>
        <v>24992.082920000004</v>
      </c>
      <c r="F17" s="613">
        <f>'CUSTO POR MUNICÍPIO'!V18</f>
        <v>499.84165840000009</v>
      </c>
      <c r="G17" s="613">
        <f>'CUSTO POR MUNICÍPIO'!W18</f>
        <v>25491.924578400005</v>
      </c>
    </row>
    <row r="18" spans="1:7">
      <c r="A18" s="604">
        <f>'CADASTRO V-T e ISS'!A19</f>
        <v>14</v>
      </c>
      <c r="B18" s="605" t="str">
        <f>'CADASTRO V-T e ISS'!B19</f>
        <v>Aracoiaba</v>
      </c>
      <c r="C18" s="604">
        <f>'CADASTRO V-T e ISS'!P19</f>
        <v>3</v>
      </c>
      <c r="D18" s="607">
        <f>'CADASTRO V-T e ISS'!G19</f>
        <v>0</v>
      </c>
      <c r="E18" s="613">
        <f>'CUSTO POR MUNICÍPIO'!U19</f>
        <v>24992.082920000004</v>
      </c>
      <c r="F18" s="613">
        <f>'CUSTO POR MUNICÍPIO'!V19</f>
        <v>499.84165840000009</v>
      </c>
      <c r="G18" s="613">
        <f>'CUSTO POR MUNICÍPIO'!W19</f>
        <v>25491.924578400005</v>
      </c>
    </row>
    <row r="19" spans="1:7">
      <c r="A19" s="604">
        <f>'CADASTRO V-T e ISS'!A20</f>
        <v>15</v>
      </c>
      <c r="B19" s="605" t="str">
        <f>'CADASTRO V-T e ISS'!B20</f>
        <v>Ararendá</v>
      </c>
      <c r="C19" s="604">
        <f>'CADASTRO V-T e ISS'!P20</f>
        <v>0</v>
      </c>
      <c r="D19" s="607">
        <f>'CADASTRO V-T e ISS'!G20</f>
        <v>0</v>
      </c>
      <c r="E19" s="613">
        <f>'CUSTO POR MUNICÍPIO'!U20</f>
        <v>0</v>
      </c>
      <c r="F19" s="613">
        <f>'CUSTO POR MUNICÍPIO'!V20</f>
        <v>0</v>
      </c>
      <c r="G19" s="613">
        <f>'CUSTO POR MUNICÍPIO'!W20</f>
        <v>0</v>
      </c>
    </row>
    <row r="20" spans="1:7">
      <c r="A20" s="604">
        <f>'CADASTRO V-T e ISS'!A21</f>
        <v>16</v>
      </c>
      <c r="B20" s="605" t="str">
        <f>'CADASTRO V-T e ISS'!B21</f>
        <v>Araripe</v>
      </c>
      <c r="C20" s="604">
        <f>'CADASTRO V-T e ISS'!P21</f>
        <v>2</v>
      </c>
      <c r="D20" s="607">
        <f>'CADASTRO V-T e ISS'!G21</f>
        <v>0</v>
      </c>
      <c r="E20" s="613">
        <f>'CUSTO POR MUNICÍPIO'!U21</f>
        <v>16710.473461818183</v>
      </c>
      <c r="F20" s="613">
        <f>'CUSTO POR MUNICÍPIO'!V21</f>
        <v>334.20946923636365</v>
      </c>
      <c r="G20" s="613">
        <f>'CUSTO POR MUNICÍPIO'!W21</f>
        <v>17044.682931054547</v>
      </c>
    </row>
    <row r="21" spans="1:7">
      <c r="A21" s="604">
        <f>'CADASTRO V-T e ISS'!A22</f>
        <v>17</v>
      </c>
      <c r="B21" s="605" t="str">
        <f>'CADASTRO V-T e ISS'!B22</f>
        <v>Aratuba</v>
      </c>
      <c r="C21" s="604">
        <f>'CADASTRO V-T e ISS'!P22</f>
        <v>0</v>
      </c>
      <c r="D21" s="607">
        <f>'CADASTRO V-T e ISS'!G22</f>
        <v>0</v>
      </c>
      <c r="E21" s="613">
        <f>'CUSTO POR MUNICÍPIO'!U22</f>
        <v>0</v>
      </c>
      <c r="F21" s="613">
        <f>'CUSTO POR MUNICÍPIO'!V22</f>
        <v>0</v>
      </c>
      <c r="G21" s="613">
        <f>'CUSTO POR MUNICÍPIO'!W22</f>
        <v>0</v>
      </c>
    </row>
    <row r="22" spans="1:7">
      <c r="A22" s="604">
        <f>'CADASTRO V-T e ISS'!A23</f>
        <v>18</v>
      </c>
      <c r="B22" s="605" t="str">
        <f>'CADASTRO V-T e ISS'!B23</f>
        <v>Arneiroz</v>
      </c>
      <c r="C22" s="604">
        <f>'CADASTRO V-T e ISS'!P23</f>
        <v>0</v>
      </c>
      <c r="D22" s="607">
        <f>'CADASTRO V-T e ISS'!G23</f>
        <v>0</v>
      </c>
      <c r="E22" s="613">
        <f>'CUSTO POR MUNICÍPIO'!U23</f>
        <v>0</v>
      </c>
      <c r="F22" s="613">
        <f>'CUSTO POR MUNICÍPIO'!V23</f>
        <v>0</v>
      </c>
      <c r="G22" s="613">
        <f>'CUSTO POR MUNICÍPIO'!W23</f>
        <v>0</v>
      </c>
    </row>
    <row r="23" spans="1:7">
      <c r="A23" s="604">
        <f>'CADASTRO V-T e ISS'!A24</f>
        <v>19</v>
      </c>
      <c r="B23" s="605" t="str">
        <f>'CADASTRO V-T e ISS'!B24</f>
        <v>Assaré</v>
      </c>
      <c r="C23" s="604">
        <f>'CADASTRO V-T e ISS'!P24</f>
        <v>2</v>
      </c>
      <c r="D23" s="607">
        <f>'CADASTRO V-T e ISS'!G24</f>
        <v>0</v>
      </c>
      <c r="E23" s="613">
        <f>'CUSTO POR MUNICÍPIO'!U24</f>
        <v>16710.473461818183</v>
      </c>
      <c r="F23" s="613">
        <f>'CUSTO POR MUNICÍPIO'!V24</f>
        <v>334.20946923636365</v>
      </c>
      <c r="G23" s="613">
        <f>'CUSTO POR MUNICÍPIO'!W24</f>
        <v>17044.682931054547</v>
      </c>
    </row>
    <row r="24" spans="1:7">
      <c r="A24" s="604">
        <f>'CADASTRO V-T e ISS'!A25</f>
        <v>20</v>
      </c>
      <c r="B24" s="605" t="str">
        <f>'CADASTRO V-T e ISS'!B25</f>
        <v>Aurora</v>
      </c>
      <c r="C24" s="604">
        <f>'CADASTRO V-T e ISS'!P25</f>
        <v>2</v>
      </c>
      <c r="D24" s="607">
        <f>'CADASTRO V-T e ISS'!G25</f>
        <v>0</v>
      </c>
      <c r="E24" s="613">
        <f>'CUSTO POR MUNICÍPIO'!U25</f>
        <v>16710.473461818183</v>
      </c>
      <c r="F24" s="613">
        <f>'CUSTO POR MUNICÍPIO'!V25</f>
        <v>334.20946923636365</v>
      </c>
      <c r="G24" s="613">
        <f>'CUSTO POR MUNICÍPIO'!W25</f>
        <v>17044.682931054547</v>
      </c>
    </row>
    <row r="25" spans="1:7">
      <c r="A25" s="604">
        <f>'CADASTRO V-T e ISS'!A26</f>
        <v>21</v>
      </c>
      <c r="B25" s="605" t="str">
        <f>'CADASTRO V-T e ISS'!B26</f>
        <v>Baixio</v>
      </c>
      <c r="C25" s="604">
        <f>'CADASTRO V-T e ISS'!P26</f>
        <v>0</v>
      </c>
      <c r="D25" s="607">
        <f>'CADASTRO V-T e ISS'!G26</f>
        <v>0</v>
      </c>
      <c r="E25" s="613">
        <f>'CUSTO POR MUNICÍPIO'!U26</f>
        <v>0</v>
      </c>
      <c r="F25" s="613">
        <f>'CUSTO POR MUNICÍPIO'!V26</f>
        <v>0</v>
      </c>
      <c r="G25" s="613">
        <f>'CUSTO POR MUNICÍPIO'!W26</f>
        <v>0</v>
      </c>
    </row>
    <row r="26" spans="1:7">
      <c r="A26" s="604">
        <f>'CADASTRO V-T e ISS'!A27</f>
        <v>22</v>
      </c>
      <c r="B26" s="605" t="str">
        <f>'CADASTRO V-T e ISS'!B27</f>
        <v>Banabuiú</v>
      </c>
      <c r="C26" s="604">
        <f>'CADASTRO V-T e ISS'!P27</f>
        <v>0</v>
      </c>
      <c r="D26" s="607">
        <f>'CADASTRO V-T e ISS'!G27</f>
        <v>0</v>
      </c>
      <c r="E26" s="613">
        <f>'CUSTO POR MUNICÍPIO'!U27</f>
        <v>0</v>
      </c>
      <c r="F26" s="613">
        <f>'CUSTO POR MUNICÍPIO'!V27</f>
        <v>0</v>
      </c>
      <c r="G26" s="613">
        <f>'CUSTO POR MUNICÍPIO'!W27</f>
        <v>0</v>
      </c>
    </row>
    <row r="27" spans="1:7">
      <c r="A27" s="604">
        <f>'CADASTRO V-T e ISS'!A28</f>
        <v>23</v>
      </c>
      <c r="B27" s="605" t="str">
        <f>'CADASTRO V-T e ISS'!B28</f>
        <v>Barbalha</v>
      </c>
      <c r="C27" s="604">
        <f>'CADASTRO V-T e ISS'!P28</f>
        <v>3</v>
      </c>
      <c r="D27" s="607">
        <f>'CADASTRO V-T e ISS'!G28</f>
        <v>0</v>
      </c>
      <c r="E27" s="613">
        <f>'CUSTO POR MUNICÍPIO'!U28</f>
        <v>24992.082920000004</v>
      </c>
      <c r="F27" s="613">
        <f>'CUSTO POR MUNICÍPIO'!V28</f>
        <v>499.84165840000009</v>
      </c>
      <c r="G27" s="613">
        <f>'CUSTO POR MUNICÍPIO'!W28</f>
        <v>25491.924578400005</v>
      </c>
    </row>
    <row r="28" spans="1:7">
      <c r="A28" s="604">
        <f>'CADASTRO V-T e ISS'!A29</f>
        <v>24</v>
      </c>
      <c r="B28" s="605" t="str">
        <f>'CADASTRO V-T e ISS'!B29</f>
        <v>Barreira</v>
      </c>
      <c r="C28" s="604">
        <f>'CADASTRO V-T e ISS'!P29</f>
        <v>0</v>
      </c>
      <c r="D28" s="607">
        <f>'CADASTRO V-T e ISS'!G29</f>
        <v>0</v>
      </c>
      <c r="E28" s="613">
        <f>'CUSTO POR MUNICÍPIO'!U29</f>
        <v>0</v>
      </c>
      <c r="F28" s="613">
        <f>'CUSTO POR MUNICÍPIO'!V29</f>
        <v>0</v>
      </c>
      <c r="G28" s="613">
        <f>'CUSTO POR MUNICÍPIO'!W29</f>
        <v>0</v>
      </c>
    </row>
    <row r="29" spans="1:7">
      <c r="A29" s="604">
        <f>'CADASTRO V-T e ISS'!A30</f>
        <v>25</v>
      </c>
      <c r="B29" s="605" t="str">
        <f>'CADASTRO V-T e ISS'!B30</f>
        <v>Barro</v>
      </c>
      <c r="C29" s="604">
        <f>'CADASTRO V-T e ISS'!P30</f>
        <v>2</v>
      </c>
      <c r="D29" s="607">
        <f>'CADASTRO V-T e ISS'!G30</f>
        <v>0</v>
      </c>
      <c r="E29" s="613">
        <f>'CUSTO POR MUNICÍPIO'!U30</f>
        <v>16710.473461818183</v>
      </c>
      <c r="F29" s="613">
        <f>'CUSTO POR MUNICÍPIO'!V30</f>
        <v>334.20946923636365</v>
      </c>
      <c r="G29" s="613">
        <f>'CUSTO POR MUNICÍPIO'!W30</f>
        <v>17044.682931054547</v>
      </c>
    </row>
    <row r="30" spans="1:7">
      <c r="A30" s="604">
        <f>'CADASTRO V-T e ISS'!A31</f>
        <v>26</v>
      </c>
      <c r="B30" s="605" t="str">
        <f>'CADASTRO V-T e ISS'!B31</f>
        <v>Barroquinha</v>
      </c>
      <c r="C30" s="604">
        <f>'CADASTRO V-T e ISS'!P31</f>
        <v>0</v>
      </c>
      <c r="D30" s="607">
        <f>'CADASTRO V-T e ISS'!G31</f>
        <v>0</v>
      </c>
      <c r="E30" s="613">
        <f>'CUSTO POR MUNICÍPIO'!U31</f>
        <v>0</v>
      </c>
      <c r="F30" s="613">
        <f>'CUSTO POR MUNICÍPIO'!V31</f>
        <v>0</v>
      </c>
      <c r="G30" s="613">
        <f>'CUSTO POR MUNICÍPIO'!W31</f>
        <v>0</v>
      </c>
    </row>
    <row r="31" spans="1:7">
      <c r="A31" s="604">
        <f>'CADASTRO V-T e ISS'!A32</f>
        <v>27</v>
      </c>
      <c r="B31" s="605" t="str">
        <f>'CADASTRO V-T e ISS'!B32</f>
        <v>Baturité</v>
      </c>
      <c r="C31" s="604">
        <f>'CADASTRO V-T e ISS'!P32</f>
        <v>3</v>
      </c>
      <c r="D31" s="607">
        <f>'CADASTRO V-T e ISS'!G32</f>
        <v>0</v>
      </c>
      <c r="E31" s="613">
        <f>'CUSTO POR MUNICÍPIO'!U32</f>
        <v>24992.082920000004</v>
      </c>
      <c r="F31" s="613">
        <f>'CUSTO POR MUNICÍPIO'!V32</f>
        <v>499.84165840000009</v>
      </c>
      <c r="G31" s="613">
        <f>'CUSTO POR MUNICÍPIO'!W32</f>
        <v>25491.924578400005</v>
      </c>
    </row>
    <row r="32" spans="1:7">
      <c r="A32" s="604">
        <f>'CADASTRO V-T e ISS'!A33</f>
        <v>28</v>
      </c>
      <c r="B32" s="605" t="str">
        <f>'CADASTRO V-T e ISS'!B33</f>
        <v>Beberibe</v>
      </c>
      <c r="C32" s="604">
        <f>'CADASTRO V-T e ISS'!P33</f>
        <v>3</v>
      </c>
      <c r="D32" s="607">
        <f>'CADASTRO V-T e ISS'!G33</f>
        <v>0</v>
      </c>
      <c r="E32" s="613">
        <f>'CUSTO POR MUNICÍPIO'!U33</f>
        <v>24992.082920000004</v>
      </c>
      <c r="F32" s="613">
        <f>'CUSTO POR MUNICÍPIO'!V33</f>
        <v>499.84165840000009</v>
      </c>
      <c r="G32" s="613">
        <f>'CUSTO POR MUNICÍPIO'!W33</f>
        <v>25491.924578400005</v>
      </c>
    </row>
    <row r="33" spans="1:7">
      <c r="A33" s="604">
        <f>'CADASTRO V-T e ISS'!A34</f>
        <v>29</v>
      </c>
      <c r="B33" s="605" t="str">
        <f>'CADASTRO V-T e ISS'!B34</f>
        <v>Bela Cruz</v>
      </c>
      <c r="C33" s="604">
        <f>'CADASTRO V-T e ISS'!P34</f>
        <v>2</v>
      </c>
      <c r="D33" s="607">
        <f>'CADASTRO V-T e ISS'!G34</f>
        <v>0</v>
      </c>
      <c r="E33" s="613">
        <f>'CUSTO POR MUNICÍPIO'!U34</f>
        <v>16710.473461818183</v>
      </c>
      <c r="F33" s="613">
        <f>'CUSTO POR MUNICÍPIO'!V34</f>
        <v>334.20946923636365</v>
      </c>
      <c r="G33" s="613">
        <f>'CUSTO POR MUNICÍPIO'!W34</f>
        <v>17044.682931054547</v>
      </c>
    </row>
    <row r="34" spans="1:7">
      <c r="A34" s="604">
        <f>'CADASTRO V-T e ISS'!A35</f>
        <v>30</v>
      </c>
      <c r="B34" s="605" t="str">
        <f>'CADASTRO V-T e ISS'!B35</f>
        <v>Boa Viagem</v>
      </c>
      <c r="C34" s="604">
        <f>'CADASTRO V-T e ISS'!P35</f>
        <v>3</v>
      </c>
      <c r="D34" s="607">
        <f>'CADASTRO V-T e ISS'!G35</f>
        <v>0</v>
      </c>
      <c r="E34" s="613">
        <f>'CUSTO POR MUNICÍPIO'!U35</f>
        <v>24992.082920000004</v>
      </c>
      <c r="F34" s="613">
        <f>'CUSTO POR MUNICÍPIO'!V35</f>
        <v>499.84165840000009</v>
      </c>
      <c r="G34" s="613">
        <f>'CUSTO POR MUNICÍPIO'!W35</f>
        <v>25491.924578400005</v>
      </c>
    </row>
    <row r="35" spans="1:7">
      <c r="A35" s="604">
        <f>'CADASTRO V-T e ISS'!A36</f>
        <v>31</v>
      </c>
      <c r="B35" s="605" t="str">
        <f>'CADASTRO V-T e ISS'!B36</f>
        <v>Brejo Santo</v>
      </c>
      <c r="C35" s="604">
        <f>'CADASTRO V-T e ISS'!P36</f>
        <v>3</v>
      </c>
      <c r="D35" s="607">
        <f>'CADASTRO V-T e ISS'!G36</f>
        <v>0</v>
      </c>
      <c r="E35" s="613">
        <f>'CUSTO POR MUNICÍPIO'!U36</f>
        <v>24992.082920000004</v>
      </c>
      <c r="F35" s="613">
        <f>'CUSTO POR MUNICÍPIO'!V36</f>
        <v>499.84165840000009</v>
      </c>
      <c r="G35" s="613">
        <f>'CUSTO POR MUNICÍPIO'!W36</f>
        <v>25491.924578400005</v>
      </c>
    </row>
    <row r="36" spans="1:7">
      <c r="A36" s="604">
        <f>'CADASTRO V-T e ISS'!A37</f>
        <v>32</v>
      </c>
      <c r="B36" s="605" t="str">
        <f>'CADASTRO V-T e ISS'!B37</f>
        <v>Camocim</v>
      </c>
      <c r="C36" s="604">
        <f>'CADASTRO V-T e ISS'!P37</f>
        <v>3</v>
      </c>
      <c r="D36" s="607">
        <f>'CADASTRO V-T e ISS'!G37</f>
        <v>0</v>
      </c>
      <c r="E36" s="613">
        <f>'CUSTO POR MUNICÍPIO'!U37</f>
        <v>24992.082920000004</v>
      </c>
      <c r="F36" s="613">
        <f>'CUSTO POR MUNICÍPIO'!V37</f>
        <v>499.84165840000009</v>
      </c>
      <c r="G36" s="613">
        <f>'CUSTO POR MUNICÍPIO'!W37</f>
        <v>25491.924578400005</v>
      </c>
    </row>
    <row r="37" spans="1:7">
      <c r="A37" s="604">
        <f>'CADASTRO V-T e ISS'!A38</f>
        <v>33</v>
      </c>
      <c r="B37" s="605" t="str">
        <f>'CADASTRO V-T e ISS'!B38</f>
        <v>Campos Sales</v>
      </c>
      <c r="C37" s="604">
        <f>'CADASTRO V-T e ISS'!P38</f>
        <v>2</v>
      </c>
      <c r="D37" s="607">
        <f>'CADASTRO V-T e ISS'!G38</f>
        <v>0</v>
      </c>
      <c r="E37" s="613">
        <f>'CUSTO POR MUNICÍPIO'!U38</f>
        <v>16710.473461818183</v>
      </c>
      <c r="F37" s="613">
        <f>'CUSTO POR MUNICÍPIO'!V38</f>
        <v>334.20946923636365</v>
      </c>
      <c r="G37" s="613">
        <f>'CUSTO POR MUNICÍPIO'!W38</f>
        <v>17044.682931054547</v>
      </c>
    </row>
    <row r="38" spans="1:7">
      <c r="A38" s="604">
        <f>'CADASTRO V-T e ISS'!A39</f>
        <v>34</v>
      </c>
      <c r="B38" s="605" t="str">
        <f>'CADASTRO V-T e ISS'!B39</f>
        <v>Canindé</v>
      </c>
      <c r="C38" s="604">
        <f>'CADASTRO V-T e ISS'!P39</f>
        <v>3</v>
      </c>
      <c r="D38" s="607">
        <f>'CADASTRO V-T e ISS'!G39</f>
        <v>0</v>
      </c>
      <c r="E38" s="613">
        <f>'CUSTO POR MUNICÍPIO'!U39</f>
        <v>24992.082920000004</v>
      </c>
      <c r="F38" s="613">
        <f>'CUSTO POR MUNICÍPIO'!V39</f>
        <v>499.84165840000009</v>
      </c>
      <c r="G38" s="613">
        <f>'CUSTO POR MUNICÍPIO'!W39</f>
        <v>25491.924578400005</v>
      </c>
    </row>
    <row r="39" spans="1:7">
      <c r="A39" s="604">
        <f>'CADASTRO V-T e ISS'!A40</f>
        <v>35</v>
      </c>
      <c r="B39" s="605" t="str">
        <f>'CADASTRO V-T e ISS'!B40</f>
        <v>Capistrano</v>
      </c>
      <c r="C39" s="604">
        <f>'CADASTRO V-T e ISS'!P40</f>
        <v>2</v>
      </c>
      <c r="D39" s="607">
        <f>'CADASTRO V-T e ISS'!G40</f>
        <v>0</v>
      </c>
      <c r="E39" s="613">
        <f>'CUSTO POR MUNICÍPIO'!U40</f>
        <v>16710.473461818183</v>
      </c>
      <c r="F39" s="613">
        <f>'CUSTO POR MUNICÍPIO'!V40</f>
        <v>334.20946923636365</v>
      </c>
      <c r="G39" s="613">
        <f>'CUSTO POR MUNICÍPIO'!W40</f>
        <v>17044.682931054547</v>
      </c>
    </row>
    <row r="40" spans="1:7">
      <c r="A40" s="604">
        <f>'CADASTRO V-T e ISS'!A41</f>
        <v>36</v>
      </c>
      <c r="B40" s="605" t="str">
        <f>'CADASTRO V-T e ISS'!B41</f>
        <v>Caridade</v>
      </c>
      <c r="C40" s="604">
        <f>'CADASTRO V-T e ISS'!P41</f>
        <v>2</v>
      </c>
      <c r="D40" s="607">
        <f>'CADASTRO V-T e ISS'!G41</f>
        <v>0</v>
      </c>
      <c r="E40" s="613">
        <f>'CUSTO POR MUNICÍPIO'!U41</f>
        <v>16710.473461818183</v>
      </c>
      <c r="F40" s="613">
        <f>'CUSTO POR MUNICÍPIO'!V41</f>
        <v>334.20946923636365</v>
      </c>
      <c r="G40" s="613">
        <f>'CUSTO POR MUNICÍPIO'!W41</f>
        <v>17044.682931054547</v>
      </c>
    </row>
    <row r="41" spans="1:7">
      <c r="A41" s="604">
        <f>'CADASTRO V-T e ISS'!A42</f>
        <v>37</v>
      </c>
      <c r="B41" s="605" t="str">
        <f>'CADASTRO V-T e ISS'!B42</f>
        <v>Caririaçu</v>
      </c>
      <c r="C41" s="604">
        <f>'CADASTRO V-T e ISS'!P42</f>
        <v>2</v>
      </c>
      <c r="D41" s="607">
        <f>'CADASTRO V-T e ISS'!G42</f>
        <v>0</v>
      </c>
      <c r="E41" s="613">
        <f>'CUSTO POR MUNICÍPIO'!U42</f>
        <v>16710.473461818183</v>
      </c>
      <c r="F41" s="613">
        <f>'CUSTO POR MUNICÍPIO'!V42</f>
        <v>334.20946923636365</v>
      </c>
      <c r="G41" s="613">
        <f>'CUSTO POR MUNICÍPIO'!W42</f>
        <v>17044.682931054547</v>
      </c>
    </row>
    <row r="42" spans="1:7">
      <c r="A42" s="604">
        <f>'CADASTRO V-T e ISS'!A43</f>
        <v>38</v>
      </c>
      <c r="B42" s="605" t="str">
        <f>'CADASTRO V-T e ISS'!B43</f>
        <v>Cariré</v>
      </c>
      <c r="C42" s="604">
        <f>'CADASTRO V-T e ISS'!P43</f>
        <v>2</v>
      </c>
      <c r="D42" s="607">
        <f>'CADASTRO V-T e ISS'!G43</f>
        <v>0</v>
      </c>
      <c r="E42" s="613">
        <f>'CUSTO POR MUNICÍPIO'!U43</f>
        <v>16710.473461818183</v>
      </c>
      <c r="F42" s="613">
        <f>'CUSTO POR MUNICÍPIO'!V43</f>
        <v>334.20946923636365</v>
      </c>
      <c r="G42" s="613">
        <f>'CUSTO POR MUNICÍPIO'!W43</f>
        <v>17044.682931054547</v>
      </c>
    </row>
    <row r="43" spans="1:7">
      <c r="A43" s="604">
        <f>'CADASTRO V-T e ISS'!A44</f>
        <v>39</v>
      </c>
      <c r="B43" s="605" t="str">
        <f>'CADASTRO V-T e ISS'!B44</f>
        <v>Cariús</v>
      </c>
      <c r="C43" s="604">
        <f>'CADASTRO V-T e ISS'!P44</f>
        <v>0</v>
      </c>
      <c r="D43" s="607">
        <f>'CADASTRO V-T e ISS'!G44</f>
        <v>0</v>
      </c>
      <c r="E43" s="613">
        <f>'CUSTO POR MUNICÍPIO'!U44</f>
        <v>0</v>
      </c>
      <c r="F43" s="613">
        <f>'CUSTO POR MUNICÍPIO'!V44</f>
        <v>0</v>
      </c>
      <c r="G43" s="613">
        <f>'CUSTO POR MUNICÍPIO'!W44</f>
        <v>0</v>
      </c>
    </row>
    <row r="44" spans="1:7">
      <c r="A44" s="604">
        <f>'CADASTRO V-T e ISS'!A45</f>
        <v>40</v>
      </c>
      <c r="B44" s="605" t="str">
        <f>'CADASTRO V-T e ISS'!B45</f>
        <v>Carnaubal</v>
      </c>
      <c r="C44" s="604">
        <f>'CADASTRO V-T e ISS'!P45</f>
        <v>0</v>
      </c>
      <c r="D44" s="607">
        <f>'CADASTRO V-T e ISS'!G45</f>
        <v>0</v>
      </c>
      <c r="E44" s="613">
        <f>'CUSTO POR MUNICÍPIO'!U45</f>
        <v>0</v>
      </c>
      <c r="F44" s="613">
        <f>'CUSTO POR MUNICÍPIO'!V45</f>
        <v>0</v>
      </c>
      <c r="G44" s="613">
        <f>'CUSTO POR MUNICÍPIO'!W45</f>
        <v>0</v>
      </c>
    </row>
    <row r="45" spans="1:7">
      <c r="A45" s="604">
        <f>'CADASTRO V-T e ISS'!A46</f>
        <v>41</v>
      </c>
      <c r="B45" s="605" t="str">
        <f>'CADASTRO V-T e ISS'!B46</f>
        <v>Cascavel</v>
      </c>
      <c r="C45" s="604">
        <f>'CADASTRO V-T e ISS'!P46</f>
        <v>3</v>
      </c>
      <c r="D45" s="607">
        <f>'CADASTRO V-T e ISS'!G46</f>
        <v>0</v>
      </c>
      <c r="E45" s="613">
        <f>'CUSTO POR MUNICÍPIO'!U46</f>
        <v>24992.082920000004</v>
      </c>
      <c r="F45" s="613">
        <f>'CUSTO POR MUNICÍPIO'!V46</f>
        <v>499.84165840000009</v>
      </c>
      <c r="G45" s="613">
        <f>'CUSTO POR MUNICÍPIO'!W46</f>
        <v>25491.924578400005</v>
      </c>
    </row>
    <row r="46" spans="1:7">
      <c r="A46" s="604">
        <f>'CADASTRO V-T e ISS'!A47</f>
        <v>42</v>
      </c>
      <c r="B46" s="605" t="str">
        <f>'CADASTRO V-T e ISS'!B47</f>
        <v>Catarina</v>
      </c>
      <c r="C46" s="604">
        <f>'CADASTRO V-T e ISS'!P47</f>
        <v>0</v>
      </c>
      <c r="D46" s="607">
        <f>'CADASTRO V-T e ISS'!G47</f>
        <v>0</v>
      </c>
      <c r="E46" s="613">
        <f>'CUSTO POR MUNICÍPIO'!U47</f>
        <v>0</v>
      </c>
      <c r="F46" s="613">
        <f>'CUSTO POR MUNICÍPIO'!V47</f>
        <v>0</v>
      </c>
      <c r="G46" s="613">
        <f>'CUSTO POR MUNICÍPIO'!W47</f>
        <v>0</v>
      </c>
    </row>
    <row r="47" spans="1:7">
      <c r="A47" s="604">
        <f>'CADASTRO V-T e ISS'!A48</f>
        <v>43</v>
      </c>
      <c r="B47" s="605" t="str">
        <f>'CADASTRO V-T e ISS'!B48</f>
        <v>Catunda</v>
      </c>
      <c r="C47" s="604">
        <f>'CADASTRO V-T e ISS'!P48</f>
        <v>0</v>
      </c>
      <c r="D47" s="607">
        <f>'CADASTRO V-T e ISS'!G48</f>
        <v>0</v>
      </c>
      <c r="E47" s="613">
        <f>'CUSTO POR MUNICÍPIO'!U48</f>
        <v>0</v>
      </c>
      <c r="F47" s="613">
        <f>'CUSTO POR MUNICÍPIO'!V48</f>
        <v>0</v>
      </c>
      <c r="G47" s="613">
        <f>'CUSTO POR MUNICÍPIO'!W48</f>
        <v>0</v>
      </c>
    </row>
    <row r="48" spans="1:7">
      <c r="A48" s="604">
        <f>'CADASTRO V-T e ISS'!A49</f>
        <v>44</v>
      </c>
      <c r="B48" s="605" t="str">
        <f>'CADASTRO V-T e ISS'!B49</f>
        <v>Caucaia</v>
      </c>
      <c r="C48" s="604">
        <f>'CADASTRO V-T e ISS'!P49</f>
        <v>18</v>
      </c>
      <c r="D48" s="607">
        <f>'CADASTRO V-T e ISS'!G49</f>
        <v>0</v>
      </c>
      <c r="E48" s="613">
        <f>'CUSTO POR MUNICÍPIO'!U49</f>
        <v>169410.11752000003</v>
      </c>
      <c r="F48" s="613">
        <f>'CUSTO POR MUNICÍPIO'!V49</f>
        <v>3388.2023504000008</v>
      </c>
      <c r="G48" s="613">
        <f>'CUSTO POR MUNICÍPIO'!W49</f>
        <v>172798.31987040004</v>
      </c>
    </row>
    <row r="49" spans="1:7">
      <c r="A49" s="604">
        <f>'CADASTRO V-T e ISS'!A50</f>
        <v>45</v>
      </c>
      <c r="B49" s="605" t="str">
        <f>'CADASTRO V-T e ISS'!B50</f>
        <v>Cedro</v>
      </c>
      <c r="C49" s="604">
        <f>'CADASTRO V-T e ISS'!P50</f>
        <v>3</v>
      </c>
      <c r="D49" s="607">
        <f>'CADASTRO V-T e ISS'!G50</f>
        <v>0</v>
      </c>
      <c r="E49" s="613">
        <f>'CUSTO POR MUNICÍPIO'!U50</f>
        <v>24992.082920000004</v>
      </c>
      <c r="F49" s="613">
        <f>'CUSTO POR MUNICÍPIO'!V50</f>
        <v>499.84165840000009</v>
      </c>
      <c r="G49" s="613">
        <f>'CUSTO POR MUNICÍPIO'!W50</f>
        <v>25491.924578400005</v>
      </c>
    </row>
    <row r="50" spans="1:7">
      <c r="A50" s="604">
        <f>'CADASTRO V-T e ISS'!A51</f>
        <v>46</v>
      </c>
      <c r="B50" s="605" t="str">
        <f>'CADASTRO V-T e ISS'!B51</f>
        <v>Chaval</v>
      </c>
      <c r="C50" s="604">
        <f>'CADASTRO V-T e ISS'!P51</f>
        <v>2</v>
      </c>
      <c r="D50" s="607">
        <f>'CADASTRO V-T e ISS'!G51</f>
        <v>0</v>
      </c>
      <c r="E50" s="613">
        <f>'CUSTO POR MUNICÍPIO'!U51</f>
        <v>16710.473461818183</v>
      </c>
      <c r="F50" s="613">
        <f>'CUSTO POR MUNICÍPIO'!V51</f>
        <v>334.20946923636365</v>
      </c>
      <c r="G50" s="613">
        <f>'CUSTO POR MUNICÍPIO'!W51</f>
        <v>17044.682931054547</v>
      </c>
    </row>
    <row r="51" spans="1:7">
      <c r="A51" s="604">
        <f>'CADASTRO V-T e ISS'!A52</f>
        <v>47</v>
      </c>
      <c r="B51" s="605" t="str">
        <f>'CADASTRO V-T e ISS'!B52</f>
        <v>Chorozinho</v>
      </c>
      <c r="C51" s="604">
        <f>'CADASTRO V-T e ISS'!P52</f>
        <v>0</v>
      </c>
      <c r="D51" s="607">
        <f>'CADASTRO V-T e ISS'!G52</f>
        <v>0</v>
      </c>
      <c r="E51" s="613">
        <f>'CUSTO POR MUNICÍPIO'!U52</f>
        <v>0</v>
      </c>
      <c r="F51" s="613">
        <f>'CUSTO POR MUNICÍPIO'!V52</f>
        <v>0</v>
      </c>
      <c r="G51" s="613">
        <f>'CUSTO POR MUNICÍPIO'!W52</f>
        <v>0</v>
      </c>
    </row>
    <row r="52" spans="1:7">
      <c r="A52" s="604">
        <f>'CADASTRO V-T e ISS'!A53</f>
        <v>48</v>
      </c>
      <c r="B52" s="605" t="str">
        <f>'CADASTRO V-T e ISS'!B53</f>
        <v>Choró</v>
      </c>
      <c r="C52" s="604">
        <f>'CADASTRO V-T e ISS'!P53</f>
        <v>0</v>
      </c>
      <c r="D52" s="607">
        <f>'CADASTRO V-T e ISS'!G53</f>
        <v>0</v>
      </c>
      <c r="E52" s="613">
        <f>'CUSTO POR MUNICÍPIO'!U53</f>
        <v>0</v>
      </c>
      <c r="F52" s="613">
        <f>'CUSTO POR MUNICÍPIO'!V53</f>
        <v>0</v>
      </c>
      <c r="G52" s="613">
        <f>'CUSTO POR MUNICÍPIO'!W53</f>
        <v>0</v>
      </c>
    </row>
    <row r="53" spans="1:7">
      <c r="A53" s="604">
        <f>'CADASTRO V-T e ISS'!A54</f>
        <v>49</v>
      </c>
      <c r="B53" s="605" t="str">
        <f>'CADASTRO V-T e ISS'!B54</f>
        <v>Coreaú</v>
      </c>
      <c r="C53" s="604">
        <f>'CADASTRO V-T e ISS'!P54</f>
        <v>2</v>
      </c>
      <c r="D53" s="607">
        <f>'CADASTRO V-T e ISS'!G54</f>
        <v>0</v>
      </c>
      <c r="E53" s="613">
        <f>'CUSTO POR MUNICÍPIO'!U54</f>
        <v>16710.473461818183</v>
      </c>
      <c r="F53" s="613">
        <f>'CUSTO POR MUNICÍPIO'!V54</f>
        <v>334.20946923636365</v>
      </c>
      <c r="G53" s="613">
        <f>'CUSTO POR MUNICÍPIO'!W54</f>
        <v>17044.682931054547</v>
      </c>
    </row>
    <row r="54" spans="1:7">
      <c r="A54" s="604">
        <f>'CADASTRO V-T e ISS'!A55</f>
        <v>50</v>
      </c>
      <c r="B54" s="605" t="str">
        <f>'CADASTRO V-T e ISS'!B55</f>
        <v>Crateús</v>
      </c>
      <c r="C54" s="604">
        <f>'CADASTRO V-T e ISS'!P55</f>
        <v>7</v>
      </c>
      <c r="D54" s="607">
        <f>'CADASTRO V-T e ISS'!G55</f>
        <v>0</v>
      </c>
      <c r="E54" s="613">
        <f>'CUSTO POR MUNICÍPIO'!U55</f>
        <v>58560.284389090921</v>
      </c>
      <c r="F54" s="613">
        <f>'CUSTO POR MUNICÍPIO'!V55</f>
        <v>1171.2056877818184</v>
      </c>
      <c r="G54" s="613">
        <f>'CUSTO POR MUNICÍPIO'!W55</f>
        <v>59731.490076872738</v>
      </c>
    </row>
    <row r="55" spans="1:7">
      <c r="A55" s="604">
        <f>'CADASTRO V-T e ISS'!A56</f>
        <v>51</v>
      </c>
      <c r="B55" s="605" t="str">
        <f>'CADASTRO V-T e ISS'!B56</f>
        <v>Crato</v>
      </c>
      <c r="C55" s="604">
        <f>'CADASTRO V-T e ISS'!P56</f>
        <v>7</v>
      </c>
      <c r="D55" s="607">
        <f>'CADASTRO V-T e ISS'!G56</f>
        <v>0</v>
      </c>
      <c r="E55" s="613">
        <f>'CUSTO POR MUNICÍPIO'!U56</f>
        <v>58265.775298181827</v>
      </c>
      <c r="F55" s="613">
        <f>'CUSTO POR MUNICÍPIO'!V56</f>
        <v>1165.3155059636365</v>
      </c>
      <c r="G55" s="613">
        <f>'CUSTO POR MUNICÍPIO'!W56</f>
        <v>59431.09080414546</v>
      </c>
    </row>
    <row r="56" spans="1:7">
      <c r="A56" s="604">
        <f>'CADASTRO V-T e ISS'!A57</f>
        <v>52</v>
      </c>
      <c r="B56" s="605" t="str">
        <f>'CADASTRO V-T e ISS'!B57</f>
        <v>Croatá</v>
      </c>
      <c r="C56" s="604">
        <f>'CADASTRO V-T e ISS'!P57</f>
        <v>0</v>
      </c>
      <c r="D56" s="607">
        <f>'CADASTRO V-T e ISS'!G57</f>
        <v>0</v>
      </c>
      <c r="E56" s="613">
        <f>'CUSTO POR MUNICÍPIO'!U57</f>
        <v>0</v>
      </c>
      <c r="F56" s="613">
        <f>'CUSTO POR MUNICÍPIO'!V57</f>
        <v>0</v>
      </c>
      <c r="G56" s="613">
        <f>'CUSTO POR MUNICÍPIO'!W57</f>
        <v>0</v>
      </c>
    </row>
    <row r="57" spans="1:7">
      <c r="A57" s="604">
        <f>'CADASTRO V-T e ISS'!A58</f>
        <v>53</v>
      </c>
      <c r="B57" s="605" t="str">
        <f>'CADASTRO V-T e ISS'!B58</f>
        <v>Cruz</v>
      </c>
      <c r="C57" s="604">
        <f>'CADASTRO V-T e ISS'!P58</f>
        <v>0</v>
      </c>
      <c r="D57" s="607">
        <f>'CADASTRO V-T e ISS'!G58</f>
        <v>0</v>
      </c>
      <c r="E57" s="613">
        <f>'CUSTO POR MUNICÍPIO'!U58</f>
        <v>0</v>
      </c>
      <c r="F57" s="613">
        <f>'CUSTO POR MUNICÍPIO'!V58</f>
        <v>0</v>
      </c>
      <c r="G57" s="613">
        <f>'CUSTO POR MUNICÍPIO'!W58</f>
        <v>0</v>
      </c>
    </row>
    <row r="58" spans="1:7">
      <c r="A58" s="604">
        <f>'CADASTRO V-T e ISS'!A59</f>
        <v>54</v>
      </c>
      <c r="B58" s="605" t="str">
        <f>'CADASTRO V-T e ISS'!B59</f>
        <v>Deputado Irapuan Pinheiro</v>
      </c>
      <c r="C58" s="604">
        <f>'CADASTRO V-T e ISS'!P59</f>
        <v>0</v>
      </c>
      <c r="D58" s="607">
        <f>'CADASTRO V-T e ISS'!G59</f>
        <v>0</v>
      </c>
      <c r="E58" s="613">
        <f>'CUSTO POR MUNICÍPIO'!U59</f>
        <v>0</v>
      </c>
      <c r="F58" s="613">
        <f>'CUSTO POR MUNICÍPIO'!V59</f>
        <v>0</v>
      </c>
      <c r="G58" s="613">
        <f>'CUSTO POR MUNICÍPIO'!W59</f>
        <v>0</v>
      </c>
    </row>
    <row r="59" spans="1:7">
      <c r="A59" s="604">
        <f>'CADASTRO V-T e ISS'!A60</f>
        <v>55</v>
      </c>
      <c r="B59" s="605" t="str">
        <f>'CADASTRO V-T e ISS'!B60</f>
        <v>Ererê</v>
      </c>
      <c r="C59" s="604">
        <f>'CADASTRO V-T e ISS'!P60</f>
        <v>0</v>
      </c>
      <c r="D59" s="607">
        <f>'CADASTRO V-T e ISS'!G60</f>
        <v>0</v>
      </c>
      <c r="E59" s="613">
        <f>'CUSTO POR MUNICÍPIO'!U60</f>
        <v>0</v>
      </c>
      <c r="F59" s="613">
        <f>'CUSTO POR MUNICÍPIO'!V60</f>
        <v>0</v>
      </c>
      <c r="G59" s="613">
        <f>'CUSTO POR MUNICÍPIO'!W60</f>
        <v>0</v>
      </c>
    </row>
    <row r="60" spans="1:7">
      <c r="A60" s="604">
        <f>'CADASTRO V-T e ISS'!A61</f>
        <v>56</v>
      </c>
      <c r="B60" s="605" t="str">
        <f>'CADASTRO V-T e ISS'!B61</f>
        <v>Eusébio</v>
      </c>
      <c r="C60" s="604">
        <f>'CADASTRO V-T e ISS'!P61</f>
        <v>3</v>
      </c>
      <c r="D60" s="607">
        <f>'CADASTRO V-T e ISS'!G61</f>
        <v>0</v>
      </c>
      <c r="E60" s="613">
        <f>'CUSTO POR MUNICÍPIO'!U61</f>
        <v>24992.082920000004</v>
      </c>
      <c r="F60" s="613">
        <f>'CUSTO POR MUNICÍPIO'!V61</f>
        <v>499.84165840000009</v>
      </c>
      <c r="G60" s="613">
        <f>'CUSTO POR MUNICÍPIO'!W61</f>
        <v>25491.924578400005</v>
      </c>
    </row>
    <row r="61" spans="1:7">
      <c r="A61" s="604">
        <f>'CADASTRO V-T e ISS'!A62</f>
        <v>57</v>
      </c>
      <c r="B61" s="605" t="str">
        <f>'CADASTRO V-T e ISS'!B62</f>
        <v>Farias Brito</v>
      </c>
      <c r="C61" s="604">
        <f>'CADASTRO V-T e ISS'!P62</f>
        <v>2</v>
      </c>
      <c r="D61" s="607">
        <f>'CADASTRO V-T e ISS'!G62</f>
        <v>0</v>
      </c>
      <c r="E61" s="613">
        <f>'CUSTO POR MUNICÍPIO'!U62</f>
        <v>16710.473461818183</v>
      </c>
      <c r="F61" s="613">
        <f>'CUSTO POR MUNICÍPIO'!V62</f>
        <v>334.20946923636365</v>
      </c>
      <c r="G61" s="613">
        <f>'CUSTO POR MUNICÍPIO'!W62</f>
        <v>17044.682931054547</v>
      </c>
    </row>
    <row r="62" spans="1:7">
      <c r="A62" s="604">
        <f>'CADASTRO V-T e ISS'!A63</f>
        <v>58</v>
      </c>
      <c r="B62" s="605" t="str">
        <f>'CADASTRO V-T e ISS'!B63</f>
        <v>Forquilha</v>
      </c>
      <c r="C62" s="604">
        <f>'CADASTRO V-T e ISS'!P63</f>
        <v>0</v>
      </c>
      <c r="D62" s="607">
        <f>'CADASTRO V-T e ISS'!G63</f>
        <v>0</v>
      </c>
      <c r="E62" s="613">
        <f>'CUSTO POR MUNICÍPIO'!U63</f>
        <v>0</v>
      </c>
      <c r="F62" s="613">
        <f>'CUSTO POR MUNICÍPIO'!V63</f>
        <v>0</v>
      </c>
      <c r="G62" s="613">
        <f>'CUSTO POR MUNICÍPIO'!W63</f>
        <v>0</v>
      </c>
    </row>
    <row r="63" spans="1:7">
      <c r="A63" s="604">
        <f>'CADASTRO V-T e ISS'!A64</f>
        <v>59</v>
      </c>
      <c r="B63" s="605" t="str">
        <f>'CADASTRO V-T e ISS'!B64</f>
        <v>Fortaleza</v>
      </c>
      <c r="C63" s="604">
        <f>'CADASTRO V-T e ISS'!P64</f>
        <v>418</v>
      </c>
      <c r="D63" s="607">
        <f>'CADASTRO V-T e ISS'!G64</f>
        <v>0</v>
      </c>
      <c r="E63" s="613">
        <f>'CUSTO POR MUNICÍPIO'!U64</f>
        <v>4012536.8607927277</v>
      </c>
      <c r="F63" s="613">
        <f>'CUSTO POR MUNICÍPIO'!V64</f>
        <v>80250.737215854562</v>
      </c>
      <c r="G63" s="613">
        <f>'CUSTO POR MUNICÍPIO'!W64</f>
        <v>4092787.5980085824</v>
      </c>
    </row>
    <row r="64" spans="1:7">
      <c r="A64" s="604">
        <f>'CADASTRO V-T e ISS'!A65</f>
        <v>60</v>
      </c>
      <c r="B64" s="605" t="str">
        <f>'CADASTRO V-T e ISS'!B65</f>
        <v>Fortim</v>
      </c>
      <c r="C64" s="604">
        <f>'CADASTRO V-T e ISS'!P65</f>
        <v>0</v>
      </c>
      <c r="D64" s="607">
        <f>'CADASTRO V-T e ISS'!G65</f>
        <v>0</v>
      </c>
      <c r="E64" s="613">
        <f>'CUSTO POR MUNICÍPIO'!U65</f>
        <v>0</v>
      </c>
      <c r="F64" s="613">
        <f>'CUSTO POR MUNICÍPIO'!V65</f>
        <v>0</v>
      </c>
      <c r="G64" s="613">
        <f>'CUSTO POR MUNICÍPIO'!W65</f>
        <v>0</v>
      </c>
    </row>
    <row r="65" spans="1:7">
      <c r="A65" s="604">
        <f>'CADASTRO V-T e ISS'!A66</f>
        <v>61</v>
      </c>
      <c r="B65" s="605" t="str">
        <f>'CADASTRO V-T e ISS'!B66</f>
        <v>Frecheirinha</v>
      </c>
      <c r="C65" s="604">
        <f>'CADASTRO V-T e ISS'!P66</f>
        <v>0</v>
      </c>
      <c r="D65" s="607">
        <f>'CADASTRO V-T e ISS'!G66</f>
        <v>0</v>
      </c>
      <c r="E65" s="613">
        <f>'CUSTO POR MUNICÍPIO'!U66</f>
        <v>0</v>
      </c>
      <c r="F65" s="613">
        <f>'CUSTO POR MUNICÍPIO'!V66</f>
        <v>0</v>
      </c>
      <c r="G65" s="613">
        <f>'CUSTO POR MUNICÍPIO'!W66</f>
        <v>0</v>
      </c>
    </row>
    <row r="66" spans="1:7">
      <c r="A66" s="604">
        <f>'CADASTRO V-T e ISS'!A67</f>
        <v>62</v>
      </c>
      <c r="B66" s="605" t="str">
        <f>'CADASTRO V-T e ISS'!B67</f>
        <v>General Sampaio</v>
      </c>
      <c r="C66" s="604">
        <f>'CADASTRO V-T e ISS'!P67</f>
        <v>0</v>
      </c>
      <c r="D66" s="607">
        <f>'CADASTRO V-T e ISS'!G67</f>
        <v>0</v>
      </c>
      <c r="E66" s="613">
        <f>'CUSTO POR MUNICÍPIO'!U67</f>
        <v>0</v>
      </c>
      <c r="F66" s="613">
        <f>'CUSTO POR MUNICÍPIO'!V67</f>
        <v>0</v>
      </c>
      <c r="G66" s="613">
        <f>'CUSTO POR MUNICÍPIO'!W67</f>
        <v>0</v>
      </c>
    </row>
    <row r="67" spans="1:7">
      <c r="A67" s="604">
        <f>'CADASTRO V-T e ISS'!A68</f>
        <v>63</v>
      </c>
      <c r="B67" s="605" t="str">
        <f>'CADASTRO V-T e ISS'!B68</f>
        <v>Graça</v>
      </c>
      <c r="C67" s="604">
        <f>'CADASTRO V-T e ISS'!P68</f>
        <v>0</v>
      </c>
      <c r="D67" s="607">
        <f>'CADASTRO V-T e ISS'!G68</f>
        <v>0</v>
      </c>
      <c r="E67" s="613">
        <f>'CUSTO POR MUNICÍPIO'!U68</f>
        <v>0</v>
      </c>
      <c r="F67" s="613">
        <f>'CUSTO POR MUNICÍPIO'!V68</f>
        <v>0</v>
      </c>
      <c r="G67" s="613">
        <f>'CUSTO POR MUNICÍPIO'!W68</f>
        <v>0</v>
      </c>
    </row>
    <row r="68" spans="1:7">
      <c r="A68" s="604">
        <f>'CADASTRO V-T e ISS'!A69</f>
        <v>64</v>
      </c>
      <c r="B68" s="605" t="str">
        <f>'CADASTRO V-T e ISS'!B69</f>
        <v>Granja</v>
      </c>
      <c r="C68" s="604">
        <f>'CADASTRO V-T e ISS'!P69</f>
        <v>3</v>
      </c>
      <c r="D68" s="607">
        <f>'CADASTRO V-T e ISS'!G69</f>
        <v>0</v>
      </c>
      <c r="E68" s="613">
        <f>'CUSTO POR MUNICÍPIO'!U69</f>
        <v>24992.082920000004</v>
      </c>
      <c r="F68" s="613">
        <f>'CUSTO POR MUNICÍPIO'!V69</f>
        <v>499.84165840000009</v>
      </c>
      <c r="G68" s="613">
        <f>'CUSTO POR MUNICÍPIO'!W69</f>
        <v>25491.924578400005</v>
      </c>
    </row>
    <row r="69" spans="1:7">
      <c r="A69" s="604">
        <f>'CADASTRO V-T e ISS'!A70</f>
        <v>65</v>
      </c>
      <c r="B69" s="605" t="str">
        <f>'CADASTRO V-T e ISS'!B70</f>
        <v>Granjeiro</v>
      </c>
      <c r="C69" s="604">
        <f>'CADASTRO V-T e ISS'!P70</f>
        <v>0</v>
      </c>
      <c r="D69" s="607">
        <f>'CADASTRO V-T e ISS'!G70</f>
        <v>0</v>
      </c>
      <c r="E69" s="613">
        <f>'CUSTO POR MUNICÍPIO'!U70</f>
        <v>0</v>
      </c>
      <c r="F69" s="613">
        <f>'CUSTO POR MUNICÍPIO'!V70</f>
        <v>0</v>
      </c>
      <c r="G69" s="613">
        <f>'CUSTO POR MUNICÍPIO'!W70</f>
        <v>0</v>
      </c>
    </row>
    <row r="70" spans="1:7">
      <c r="A70" s="604">
        <f>'CADASTRO V-T e ISS'!A71</f>
        <v>66</v>
      </c>
      <c r="B70" s="605" t="str">
        <f>'CADASTRO V-T e ISS'!B71</f>
        <v>Groaíras</v>
      </c>
      <c r="C70" s="604">
        <f>'CADASTRO V-T e ISS'!P71</f>
        <v>0</v>
      </c>
      <c r="D70" s="607">
        <f>'CADASTRO V-T e ISS'!G71</f>
        <v>0</v>
      </c>
      <c r="E70" s="613">
        <f>'CUSTO POR MUNICÍPIO'!U71</f>
        <v>0</v>
      </c>
      <c r="F70" s="613">
        <f>'CUSTO POR MUNICÍPIO'!V71</f>
        <v>0</v>
      </c>
      <c r="G70" s="613">
        <f>'CUSTO POR MUNICÍPIO'!W71</f>
        <v>0</v>
      </c>
    </row>
    <row r="71" spans="1:7">
      <c r="A71" s="604">
        <f>'CADASTRO V-T e ISS'!A72</f>
        <v>67</v>
      </c>
      <c r="B71" s="605" t="str">
        <f>'CADASTRO V-T e ISS'!B72</f>
        <v>Guaiúba</v>
      </c>
      <c r="C71" s="604">
        <f>'CADASTRO V-T e ISS'!P72</f>
        <v>0</v>
      </c>
      <c r="D71" s="607">
        <f>'CADASTRO V-T e ISS'!G72</f>
        <v>0</v>
      </c>
      <c r="E71" s="613">
        <f>'CUSTO POR MUNICÍPIO'!U72</f>
        <v>0</v>
      </c>
      <c r="F71" s="613">
        <f>'CUSTO POR MUNICÍPIO'!V72</f>
        <v>0</v>
      </c>
      <c r="G71" s="613">
        <f>'CUSTO POR MUNICÍPIO'!W72</f>
        <v>0</v>
      </c>
    </row>
    <row r="72" spans="1:7">
      <c r="A72" s="604">
        <f>'CADASTRO V-T e ISS'!A73</f>
        <v>68</v>
      </c>
      <c r="B72" s="605" t="str">
        <f>'CADASTRO V-T e ISS'!B73</f>
        <v>Guaraciaba do Norte</v>
      </c>
      <c r="C72" s="604">
        <f>'CADASTRO V-T e ISS'!P73</f>
        <v>3</v>
      </c>
      <c r="D72" s="607">
        <f>'CADASTRO V-T e ISS'!G73</f>
        <v>0</v>
      </c>
      <c r="E72" s="613">
        <f>'CUSTO POR MUNICÍPIO'!U73</f>
        <v>24992.082920000004</v>
      </c>
      <c r="F72" s="613">
        <f>'CUSTO POR MUNICÍPIO'!V73</f>
        <v>499.84165840000009</v>
      </c>
      <c r="G72" s="613">
        <f>'CUSTO POR MUNICÍPIO'!W73</f>
        <v>25491.924578400005</v>
      </c>
    </row>
    <row r="73" spans="1:7">
      <c r="A73" s="604">
        <f>'CADASTRO V-T e ISS'!A74</f>
        <v>69</v>
      </c>
      <c r="B73" s="605" t="str">
        <f>'CADASTRO V-T e ISS'!B74</f>
        <v>Guaramiranga</v>
      </c>
      <c r="C73" s="604">
        <f>'CADASTRO V-T e ISS'!P74</f>
        <v>0</v>
      </c>
      <c r="D73" s="607">
        <f>'CADASTRO V-T e ISS'!G74</f>
        <v>0</v>
      </c>
      <c r="E73" s="613">
        <f>'CUSTO POR MUNICÍPIO'!U74</f>
        <v>0</v>
      </c>
      <c r="F73" s="613">
        <f>'CUSTO POR MUNICÍPIO'!V74</f>
        <v>0</v>
      </c>
      <c r="G73" s="613">
        <f>'CUSTO POR MUNICÍPIO'!W74</f>
        <v>0</v>
      </c>
    </row>
    <row r="74" spans="1:7">
      <c r="A74" s="604">
        <f>'CADASTRO V-T e ISS'!A75</f>
        <v>70</v>
      </c>
      <c r="B74" s="605" t="str">
        <f>'CADASTRO V-T e ISS'!B75</f>
        <v>Hidrolândia</v>
      </c>
      <c r="C74" s="604">
        <f>'CADASTRO V-T e ISS'!P75</f>
        <v>0</v>
      </c>
      <c r="D74" s="607">
        <f>'CADASTRO V-T e ISS'!G75</f>
        <v>0</v>
      </c>
      <c r="E74" s="613">
        <f>'CUSTO POR MUNICÍPIO'!U75</f>
        <v>0</v>
      </c>
      <c r="F74" s="613">
        <f>'CUSTO POR MUNICÍPIO'!V75</f>
        <v>0</v>
      </c>
      <c r="G74" s="613">
        <f>'CUSTO POR MUNICÍPIO'!W75</f>
        <v>0</v>
      </c>
    </row>
    <row r="75" spans="1:7">
      <c r="A75" s="604">
        <f>'CADASTRO V-T e ISS'!A76</f>
        <v>71</v>
      </c>
      <c r="B75" s="605" t="str">
        <f>'CADASTRO V-T e ISS'!B76</f>
        <v>Horizonte</v>
      </c>
      <c r="C75" s="604">
        <f>'CADASTRO V-T e ISS'!P76</f>
        <v>3</v>
      </c>
      <c r="D75" s="607">
        <f>'CADASTRO V-T e ISS'!G76</f>
        <v>0</v>
      </c>
      <c r="E75" s="613">
        <f>'CUSTO POR MUNICÍPIO'!U76</f>
        <v>24992.082920000004</v>
      </c>
      <c r="F75" s="613">
        <f>'CUSTO POR MUNICÍPIO'!V76</f>
        <v>499.84165840000009</v>
      </c>
      <c r="G75" s="613">
        <f>'CUSTO POR MUNICÍPIO'!W76</f>
        <v>25491.924578400005</v>
      </c>
    </row>
    <row r="76" spans="1:7">
      <c r="A76" s="604">
        <f>'CADASTRO V-T e ISS'!A77</f>
        <v>72</v>
      </c>
      <c r="B76" s="605" t="str">
        <f>'CADASTRO V-T e ISS'!B77</f>
        <v>Ibaretama</v>
      </c>
      <c r="C76" s="604">
        <f>'CADASTRO V-T e ISS'!P77</f>
        <v>0</v>
      </c>
      <c r="D76" s="607">
        <f>'CADASTRO V-T e ISS'!G77</f>
        <v>0</v>
      </c>
      <c r="E76" s="613">
        <f>'CUSTO POR MUNICÍPIO'!U77</f>
        <v>0</v>
      </c>
      <c r="F76" s="613">
        <f>'CUSTO POR MUNICÍPIO'!V77</f>
        <v>0</v>
      </c>
      <c r="G76" s="613">
        <f>'CUSTO POR MUNICÍPIO'!W77</f>
        <v>0</v>
      </c>
    </row>
    <row r="77" spans="1:7">
      <c r="A77" s="604">
        <f>'CADASTRO V-T e ISS'!A78</f>
        <v>73</v>
      </c>
      <c r="B77" s="605" t="str">
        <f>'CADASTRO V-T e ISS'!B78</f>
        <v>Ibiapina</v>
      </c>
      <c r="C77" s="604">
        <f>'CADASTRO V-T e ISS'!P78</f>
        <v>2</v>
      </c>
      <c r="D77" s="607">
        <f>'CADASTRO V-T e ISS'!G78</f>
        <v>0</v>
      </c>
      <c r="E77" s="613">
        <f>'CUSTO POR MUNICÍPIO'!U78</f>
        <v>16710.473461818183</v>
      </c>
      <c r="F77" s="613">
        <f>'CUSTO POR MUNICÍPIO'!V78</f>
        <v>334.20946923636365</v>
      </c>
      <c r="G77" s="613">
        <f>'CUSTO POR MUNICÍPIO'!W78</f>
        <v>17044.682931054547</v>
      </c>
    </row>
    <row r="78" spans="1:7">
      <c r="A78" s="604">
        <f>'CADASTRO V-T e ISS'!A79</f>
        <v>74</v>
      </c>
      <c r="B78" s="605" t="str">
        <f>'CADASTRO V-T e ISS'!B79</f>
        <v>Ibicuitinga</v>
      </c>
      <c r="C78" s="604">
        <f>'CADASTRO V-T e ISS'!P79</f>
        <v>0</v>
      </c>
      <c r="D78" s="607">
        <f>'CADASTRO V-T e ISS'!G79</f>
        <v>0</v>
      </c>
      <c r="E78" s="613">
        <f>'CUSTO POR MUNICÍPIO'!U79</f>
        <v>0</v>
      </c>
      <c r="F78" s="613">
        <f>'CUSTO POR MUNICÍPIO'!V79</f>
        <v>0</v>
      </c>
      <c r="G78" s="613">
        <f>'CUSTO POR MUNICÍPIO'!W79</f>
        <v>0</v>
      </c>
    </row>
    <row r="79" spans="1:7">
      <c r="A79" s="604">
        <f>'CADASTRO V-T e ISS'!A80</f>
        <v>75</v>
      </c>
      <c r="B79" s="605" t="str">
        <f>'CADASTRO V-T e ISS'!B80</f>
        <v>Icapuí</v>
      </c>
      <c r="C79" s="604">
        <f>'CADASTRO V-T e ISS'!P80</f>
        <v>0</v>
      </c>
      <c r="D79" s="607">
        <f>'CADASTRO V-T e ISS'!G80</f>
        <v>0</v>
      </c>
      <c r="E79" s="613">
        <f>'CUSTO POR MUNICÍPIO'!U80</f>
        <v>0</v>
      </c>
      <c r="F79" s="613">
        <f>'CUSTO POR MUNICÍPIO'!V80</f>
        <v>0</v>
      </c>
      <c r="G79" s="613">
        <f>'CUSTO POR MUNICÍPIO'!W80</f>
        <v>0</v>
      </c>
    </row>
    <row r="80" spans="1:7">
      <c r="A80" s="604">
        <f>'CADASTRO V-T e ISS'!A81</f>
        <v>76</v>
      </c>
      <c r="B80" s="605" t="str">
        <f>'CADASTRO V-T e ISS'!B81</f>
        <v>Icó</v>
      </c>
      <c r="C80" s="604">
        <f>'CADASTRO V-T e ISS'!P81</f>
        <v>3</v>
      </c>
      <c r="D80" s="607">
        <f>'CADASTRO V-T e ISS'!G81</f>
        <v>0</v>
      </c>
      <c r="E80" s="613">
        <f>'CUSTO POR MUNICÍPIO'!U81</f>
        <v>24992.082920000004</v>
      </c>
      <c r="F80" s="613">
        <f>'CUSTO POR MUNICÍPIO'!V81</f>
        <v>499.84165840000009</v>
      </c>
      <c r="G80" s="613">
        <f>'CUSTO POR MUNICÍPIO'!W81</f>
        <v>25491.924578400005</v>
      </c>
    </row>
    <row r="81" spans="1:7">
      <c r="A81" s="604">
        <f>'CADASTRO V-T e ISS'!A82</f>
        <v>77</v>
      </c>
      <c r="B81" s="605" t="str">
        <f>'CADASTRO V-T e ISS'!B82</f>
        <v>Iguatu</v>
      </c>
      <c r="C81" s="604">
        <f>'CADASTRO V-T e ISS'!P82</f>
        <v>18</v>
      </c>
      <c r="D81" s="607">
        <f>'CADASTRO V-T e ISS'!G82</f>
        <v>0</v>
      </c>
      <c r="E81" s="613">
        <f>'CUSTO POR MUNICÍPIO'!U82</f>
        <v>173313.27933818186</v>
      </c>
      <c r="F81" s="613">
        <f>'CUSTO POR MUNICÍPIO'!V82</f>
        <v>3466.2655867636372</v>
      </c>
      <c r="G81" s="613">
        <f>'CUSTO POR MUNICÍPIO'!W82</f>
        <v>176779.54492494551</v>
      </c>
    </row>
    <row r="82" spans="1:7">
      <c r="A82" s="604">
        <f>'CADASTRO V-T e ISS'!A83</f>
        <v>78</v>
      </c>
      <c r="B82" s="605" t="str">
        <f>'CADASTRO V-T e ISS'!B83</f>
        <v>Independência</v>
      </c>
      <c r="C82" s="604">
        <f>'CADASTRO V-T e ISS'!P83</f>
        <v>3</v>
      </c>
      <c r="D82" s="607">
        <f>'CADASTRO V-T e ISS'!G83</f>
        <v>0</v>
      </c>
      <c r="E82" s="613">
        <f>'CUSTO POR MUNICÍPIO'!U83</f>
        <v>24992.082920000004</v>
      </c>
      <c r="F82" s="613">
        <f>'CUSTO POR MUNICÍPIO'!V83</f>
        <v>499.84165840000009</v>
      </c>
      <c r="G82" s="613">
        <f>'CUSTO POR MUNICÍPIO'!W83</f>
        <v>25491.924578400005</v>
      </c>
    </row>
    <row r="83" spans="1:7">
      <c r="A83" s="604">
        <f>'CADASTRO V-T e ISS'!A84</f>
        <v>79</v>
      </c>
      <c r="B83" s="605" t="str">
        <f>'CADASTRO V-T e ISS'!B84</f>
        <v>Ipaporanga</v>
      </c>
      <c r="C83" s="604">
        <f>'CADASTRO V-T e ISS'!P84</f>
        <v>0</v>
      </c>
      <c r="D83" s="607">
        <f>'CADASTRO V-T e ISS'!G84</f>
        <v>0</v>
      </c>
      <c r="E83" s="613">
        <f>'CUSTO POR MUNICÍPIO'!U84</f>
        <v>0</v>
      </c>
      <c r="F83" s="613">
        <f>'CUSTO POR MUNICÍPIO'!V84</f>
        <v>0</v>
      </c>
      <c r="G83" s="613">
        <f>'CUSTO POR MUNICÍPIO'!W84</f>
        <v>0</v>
      </c>
    </row>
    <row r="84" spans="1:7">
      <c r="A84" s="604">
        <f>'CADASTRO V-T e ISS'!A85</f>
        <v>80</v>
      </c>
      <c r="B84" s="605" t="str">
        <f>'CADASTRO V-T e ISS'!B85</f>
        <v>Ipaumirim</v>
      </c>
      <c r="C84" s="604">
        <f>'CADASTRO V-T e ISS'!P85</f>
        <v>2</v>
      </c>
      <c r="D84" s="607">
        <f>'CADASTRO V-T e ISS'!G85</f>
        <v>0</v>
      </c>
      <c r="E84" s="613">
        <f>'CUSTO POR MUNICÍPIO'!U85</f>
        <v>16710.473461818183</v>
      </c>
      <c r="F84" s="613">
        <f>'CUSTO POR MUNICÍPIO'!V85</f>
        <v>334.20946923636365</v>
      </c>
      <c r="G84" s="613">
        <f>'CUSTO POR MUNICÍPIO'!W85</f>
        <v>17044.682931054547</v>
      </c>
    </row>
    <row r="85" spans="1:7">
      <c r="A85" s="604">
        <f>'CADASTRO V-T e ISS'!A86</f>
        <v>81</v>
      </c>
      <c r="B85" s="605" t="str">
        <f>'CADASTRO V-T e ISS'!B86</f>
        <v>Ipu</v>
      </c>
      <c r="C85" s="604">
        <f>'CADASTRO V-T e ISS'!P86</f>
        <v>3</v>
      </c>
      <c r="D85" s="607">
        <f>'CADASTRO V-T e ISS'!G86</f>
        <v>0</v>
      </c>
      <c r="E85" s="613">
        <f>'CUSTO POR MUNICÍPIO'!U86</f>
        <v>24992.082920000004</v>
      </c>
      <c r="F85" s="613">
        <f>'CUSTO POR MUNICÍPIO'!V86</f>
        <v>499.84165840000009</v>
      </c>
      <c r="G85" s="613">
        <f>'CUSTO POR MUNICÍPIO'!W86</f>
        <v>25491.924578400005</v>
      </c>
    </row>
    <row r="86" spans="1:7">
      <c r="A86" s="604">
        <f>'CADASTRO V-T e ISS'!A87</f>
        <v>82</v>
      </c>
      <c r="B86" s="605" t="str">
        <f>'CADASTRO V-T e ISS'!B87</f>
        <v>Ipueiras</v>
      </c>
      <c r="C86" s="604">
        <f>'CADASTRO V-T e ISS'!P87</f>
        <v>2</v>
      </c>
      <c r="D86" s="607">
        <f>'CADASTRO V-T e ISS'!G87</f>
        <v>0</v>
      </c>
      <c r="E86" s="613">
        <f>'CUSTO POR MUNICÍPIO'!U87</f>
        <v>16710.473461818183</v>
      </c>
      <c r="F86" s="613">
        <f>'CUSTO POR MUNICÍPIO'!V87</f>
        <v>334.20946923636365</v>
      </c>
      <c r="G86" s="613">
        <f>'CUSTO POR MUNICÍPIO'!W87</f>
        <v>17044.682931054547</v>
      </c>
    </row>
    <row r="87" spans="1:7">
      <c r="A87" s="604">
        <f>'CADASTRO V-T e ISS'!A88</f>
        <v>83</v>
      </c>
      <c r="B87" s="605" t="str">
        <f>'CADASTRO V-T e ISS'!B88</f>
        <v>Iracema</v>
      </c>
      <c r="C87" s="604">
        <f>'CADASTRO V-T e ISS'!P88</f>
        <v>2</v>
      </c>
      <c r="D87" s="607">
        <f>'CADASTRO V-T e ISS'!G88</f>
        <v>0</v>
      </c>
      <c r="E87" s="613">
        <f>'CUSTO POR MUNICÍPIO'!U88</f>
        <v>16710.473461818183</v>
      </c>
      <c r="F87" s="613">
        <f>'CUSTO POR MUNICÍPIO'!V88</f>
        <v>334.20946923636365</v>
      </c>
      <c r="G87" s="613">
        <f>'CUSTO POR MUNICÍPIO'!W88</f>
        <v>17044.682931054547</v>
      </c>
    </row>
    <row r="88" spans="1:7">
      <c r="A88" s="604">
        <f>'CADASTRO V-T e ISS'!A89</f>
        <v>84</v>
      </c>
      <c r="B88" s="605" t="str">
        <f>'CADASTRO V-T e ISS'!B89</f>
        <v>Irauçuba</v>
      </c>
      <c r="C88" s="604">
        <f>'CADASTRO V-T e ISS'!P89</f>
        <v>0</v>
      </c>
      <c r="D88" s="607">
        <f>'CADASTRO V-T e ISS'!G89</f>
        <v>0</v>
      </c>
      <c r="E88" s="613">
        <f>'CUSTO POR MUNICÍPIO'!U89</f>
        <v>0</v>
      </c>
      <c r="F88" s="613">
        <f>'CUSTO POR MUNICÍPIO'!V89</f>
        <v>0</v>
      </c>
      <c r="G88" s="613">
        <f>'CUSTO POR MUNICÍPIO'!W89</f>
        <v>0</v>
      </c>
    </row>
    <row r="89" spans="1:7">
      <c r="A89" s="604">
        <f>'CADASTRO V-T e ISS'!A90</f>
        <v>85</v>
      </c>
      <c r="B89" s="605" t="str">
        <f>'CADASTRO V-T e ISS'!B90</f>
        <v>Itaiçaba</v>
      </c>
      <c r="C89" s="604">
        <f>'CADASTRO V-T e ISS'!P90</f>
        <v>0</v>
      </c>
      <c r="D89" s="607">
        <f>'CADASTRO V-T e ISS'!G90</f>
        <v>0</v>
      </c>
      <c r="E89" s="613">
        <f>'CUSTO POR MUNICÍPIO'!U90</f>
        <v>0</v>
      </c>
      <c r="F89" s="613">
        <f>'CUSTO POR MUNICÍPIO'!V90</f>
        <v>0</v>
      </c>
      <c r="G89" s="613">
        <f>'CUSTO POR MUNICÍPIO'!W90</f>
        <v>0</v>
      </c>
    </row>
    <row r="90" spans="1:7">
      <c r="A90" s="604">
        <f>'CADASTRO V-T e ISS'!A91</f>
        <v>86</v>
      </c>
      <c r="B90" s="605" t="str">
        <f>'CADASTRO V-T e ISS'!B91</f>
        <v>Itaitinga</v>
      </c>
      <c r="C90" s="604">
        <f>'CADASTRO V-T e ISS'!P91</f>
        <v>3</v>
      </c>
      <c r="D90" s="607">
        <f>'CADASTRO V-T e ISS'!G91</f>
        <v>0</v>
      </c>
      <c r="E90" s="613">
        <f>'CUSTO POR MUNICÍPIO'!U91</f>
        <v>24992.082920000004</v>
      </c>
      <c r="F90" s="613">
        <f>'CUSTO POR MUNICÍPIO'!V91</f>
        <v>499.84165840000009</v>
      </c>
      <c r="G90" s="613">
        <f>'CUSTO POR MUNICÍPIO'!W91</f>
        <v>25491.924578400005</v>
      </c>
    </row>
    <row r="91" spans="1:7">
      <c r="A91" s="604">
        <f>'CADASTRO V-T e ISS'!A92</f>
        <v>87</v>
      </c>
      <c r="B91" s="605" t="str">
        <f>'CADASTRO V-T e ISS'!B92</f>
        <v>Itapajé</v>
      </c>
      <c r="C91" s="604">
        <f>'CADASTRO V-T e ISS'!P92</f>
        <v>3</v>
      </c>
      <c r="D91" s="607">
        <f>'CADASTRO V-T e ISS'!G92</f>
        <v>0</v>
      </c>
      <c r="E91" s="613">
        <f>'CUSTO POR MUNICÍPIO'!U92</f>
        <v>24992.082920000004</v>
      </c>
      <c r="F91" s="613">
        <f>'CUSTO POR MUNICÍPIO'!V92</f>
        <v>499.84165840000009</v>
      </c>
      <c r="G91" s="613">
        <f>'CUSTO POR MUNICÍPIO'!W92</f>
        <v>25491.924578400005</v>
      </c>
    </row>
    <row r="92" spans="1:7">
      <c r="A92" s="604">
        <f>'CADASTRO V-T e ISS'!A93</f>
        <v>88</v>
      </c>
      <c r="B92" s="605" t="str">
        <f>'CADASTRO V-T e ISS'!B93</f>
        <v>Itapipoca</v>
      </c>
      <c r="C92" s="604">
        <f>'CADASTRO V-T e ISS'!P93</f>
        <v>3</v>
      </c>
      <c r="D92" s="607">
        <f>'CADASTRO V-T e ISS'!G93</f>
        <v>0</v>
      </c>
      <c r="E92" s="613">
        <f>'CUSTO POR MUNICÍPIO'!U93</f>
        <v>24992.082920000004</v>
      </c>
      <c r="F92" s="613">
        <f>'CUSTO POR MUNICÍPIO'!V93</f>
        <v>499.84165840000009</v>
      </c>
      <c r="G92" s="613">
        <f>'CUSTO POR MUNICÍPIO'!W93</f>
        <v>25491.924578400005</v>
      </c>
    </row>
    <row r="93" spans="1:7">
      <c r="A93" s="604">
        <f>'CADASTRO V-T e ISS'!A94</f>
        <v>89</v>
      </c>
      <c r="B93" s="605" t="str">
        <f>'CADASTRO V-T e ISS'!B94</f>
        <v>Itapiúna</v>
      </c>
      <c r="C93" s="604">
        <f>'CADASTRO V-T e ISS'!P94</f>
        <v>0</v>
      </c>
      <c r="D93" s="607">
        <f>'CADASTRO V-T e ISS'!G94</f>
        <v>0</v>
      </c>
      <c r="E93" s="613">
        <f>'CUSTO POR MUNICÍPIO'!U94</f>
        <v>0</v>
      </c>
      <c r="F93" s="613">
        <f>'CUSTO POR MUNICÍPIO'!V94</f>
        <v>0</v>
      </c>
      <c r="G93" s="613">
        <f>'CUSTO POR MUNICÍPIO'!W94</f>
        <v>0</v>
      </c>
    </row>
    <row r="94" spans="1:7">
      <c r="A94" s="604">
        <f>'CADASTRO V-T e ISS'!A95</f>
        <v>90</v>
      </c>
      <c r="B94" s="605" t="str">
        <f>'CADASTRO V-T e ISS'!B95</f>
        <v>Itarema</v>
      </c>
      <c r="C94" s="604">
        <f>'CADASTRO V-T e ISS'!P95</f>
        <v>2</v>
      </c>
      <c r="D94" s="607">
        <f>'CADASTRO V-T e ISS'!G95</f>
        <v>0</v>
      </c>
      <c r="E94" s="613">
        <f>'CUSTO POR MUNICÍPIO'!U95</f>
        <v>16710.473461818183</v>
      </c>
      <c r="F94" s="613">
        <f>'CUSTO POR MUNICÍPIO'!V95</f>
        <v>334.20946923636365</v>
      </c>
      <c r="G94" s="613">
        <f>'CUSTO POR MUNICÍPIO'!W95</f>
        <v>17044.682931054547</v>
      </c>
    </row>
    <row r="95" spans="1:7">
      <c r="A95" s="604">
        <f>'CADASTRO V-T e ISS'!A96</f>
        <v>91</v>
      </c>
      <c r="B95" s="605" t="str">
        <f>'CADASTRO V-T e ISS'!B96</f>
        <v>Itatira</v>
      </c>
      <c r="C95" s="604">
        <f>'CADASTRO V-T e ISS'!P96</f>
        <v>0</v>
      </c>
      <c r="D95" s="607">
        <f>'CADASTRO V-T e ISS'!G96</f>
        <v>0</v>
      </c>
      <c r="E95" s="613">
        <f>'CUSTO POR MUNICÍPIO'!U96</f>
        <v>0</v>
      </c>
      <c r="F95" s="613">
        <f>'CUSTO POR MUNICÍPIO'!V96</f>
        <v>0</v>
      </c>
      <c r="G95" s="613">
        <f>'CUSTO POR MUNICÍPIO'!W96</f>
        <v>0</v>
      </c>
    </row>
    <row r="96" spans="1:7">
      <c r="A96" s="604">
        <f>'CADASTRO V-T e ISS'!A97</f>
        <v>92</v>
      </c>
      <c r="B96" s="605" t="str">
        <f>'CADASTRO V-T e ISS'!B97</f>
        <v>Jaguaretama</v>
      </c>
      <c r="C96" s="604">
        <f>'CADASTRO V-T e ISS'!P97</f>
        <v>2</v>
      </c>
      <c r="D96" s="607">
        <f>'CADASTRO V-T e ISS'!G97</f>
        <v>0</v>
      </c>
      <c r="E96" s="613">
        <f>'CUSTO POR MUNICÍPIO'!U97</f>
        <v>16710.473461818183</v>
      </c>
      <c r="F96" s="613">
        <f>'CUSTO POR MUNICÍPIO'!V97</f>
        <v>334.20946923636365</v>
      </c>
      <c r="G96" s="613">
        <f>'CUSTO POR MUNICÍPIO'!W97</f>
        <v>17044.682931054547</v>
      </c>
    </row>
    <row r="97" spans="1:7">
      <c r="A97" s="604">
        <f>'CADASTRO V-T e ISS'!A98</f>
        <v>93</v>
      </c>
      <c r="B97" s="605" t="str">
        <f>'CADASTRO V-T e ISS'!B98</f>
        <v>Jaguaribara</v>
      </c>
      <c r="C97" s="604">
        <f>'CADASTRO V-T e ISS'!P98</f>
        <v>0</v>
      </c>
      <c r="D97" s="607">
        <f>'CADASTRO V-T e ISS'!G98</f>
        <v>0</v>
      </c>
      <c r="E97" s="613">
        <f>'CUSTO POR MUNICÍPIO'!U98</f>
        <v>0</v>
      </c>
      <c r="F97" s="613">
        <f>'CUSTO POR MUNICÍPIO'!V98</f>
        <v>0</v>
      </c>
      <c r="G97" s="613">
        <f>'CUSTO POR MUNICÍPIO'!W98</f>
        <v>0</v>
      </c>
    </row>
    <row r="98" spans="1:7">
      <c r="A98" s="604">
        <f>'CADASTRO V-T e ISS'!A99</f>
        <v>94</v>
      </c>
      <c r="B98" s="605" t="str">
        <f>'CADASTRO V-T e ISS'!B99</f>
        <v>Jaguaribe</v>
      </c>
      <c r="C98" s="604">
        <f>'CADASTRO V-T e ISS'!P99</f>
        <v>2</v>
      </c>
      <c r="D98" s="607">
        <f>'CADASTRO V-T e ISS'!G99</f>
        <v>0</v>
      </c>
      <c r="E98" s="613">
        <f>'CUSTO POR MUNICÍPIO'!U99</f>
        <v>16710.473461818183</v>
      </c>
      <c r="F98" s="613">
        <f>'CUSTO POR MUNICÍPIO'!V99</f>
        <v>334.20946923636365</v>
      </c>
      <c r="G98" s="613">
        <f>'CUSTO POR MUNICÍPIO'!W99</f>
        <v>17044.682931054547</v>
      </c>
    </row>
    <row r="99" spans="1:7">
      <c r="A99" s="604">
        <f>'CADASTRO V-T e ISS'!A100</f>
        <v>95</v>
      </c>
      <c r="B99" s="605" t="str">
        <f>'CADASTRO V-T e ISS'!B100</f>
        <v>Jaguaruana</v>
      </c>
      <c r="C99" s="604">
        <f>'CADASTRO V-T e ISS'!P100</f>
        <v>2</v>
      </c>
      <c r="D99" s="607">
        <f>'CADASTRO V-T e ISS'!G100</f>
        <v>0</v>
      </c>
      <c r="E99" s="613">
        <f>'CUSTO POR MUNICÍPIO'!U100</f>
        <v>16710.473461818183</v>
      </c>
      <c r="F99" s="613">
        <f>'CUSTO POR MUNICÍPIO'!V100</f>
        <v>334.20946923636365</v>
      </c>
      <c r="G99" s="613">
        <f>'CUSTO POR MUNICÍPIO'!W100</f>
        <v>17044.682931054547</v>
      </c>
    </row>
    <row r="100" spans="1:7">
      <c r="A100" s="604">
        <f>'CADASTRO V-T e ISS'!A101</f>
        <v>96</v>
      </c>
      <c r="B100" s="605" t="str">
        <f>'CADASTRO V-T e ISS'!B101</f>
        <v>Jardim</v>
      </c>
      <c r="C100" s="604">
        <f>'CADASTRO V-T e ISS'!P101</f>
        <v>2</v>
      </c>
      <c r="D100" s="607">
        <f>'CADASTRO V-T e ISS'!G101</f>
        <v>0</v>
      </c>
      <c r="E100" s="613">
        <f>'CUSTO POR MUNICÍPIO'!U101</f>
        <v>16710.473461818183</v>
      </c>
      <c r="F100" s="613">
        <f>'CUSTO POR MUNICÍPIO'!V101</f>
        <v>334.20946923636365</v>
      </c>
      <c r="G100" s="613">
        <f>'CUSTO POR MUNICÍPIO'!W101</f>
        <v>17044.682931054547</v>
      </c>
    </row>
    <row r="101" spans="1:7">
      <c r="A101" s="604">
        <f>'CADASTRO V-T e ISS'!A102</f>
        <v>97</v>
      </c>
      <c r="B101" s="605" t="str">
        <f>'CADASTRO V-T e ISS'!B102</f>
        <v>Jati</v>
      </c>
      <c r="C101" s="604">
        <f>'CADASTRO V-T e ISS'!P102</f>
        <v>0</v>
      </c>
      <c r="D101" s="607">
        <f>'CADASTRO V-T e ISS'!G102</f>
        <v>0</v>
      </c>
      <c r="E101" s="613">
        <f>'CUSTO POR MUNICÍPIO'!U102</f>
        <v>0</v>
      </c>
      <c r="F101" s="613">
        <f>'CUSTO POR MUNICÍPIO'!V102</f>
        <v>0</v>
      </c>
      <c r="G101" s="613">
        <f>'CUSTO POR MUNICÍPIO'!W102</f>
        <v>0</v>
      </c>
    </row>
    <row r="102" spans="1:7">
      <c r="A102" s="604">
        <f>'CADASTRO V-T e ISS'!A103</f>
        <v>98</v>
      </c>
      <c r="B102" s="605" t="str">
        <f>'CADASTRO V-T e ISS'!B103</f>
        <v>Jijoca de Jericoacoara</v>
      </c>
      <c r="C102" s="604">
        <f>'CADASTRO V-T e ISS'!P103</f>
        <v>2</v>
      </c>
      <c r="D102" s="607">
        <f>'CADASTRO V-T e ISS'!G103</f>
        <v>0</v>
      </c>
      <c r="E102" s="613">
        <f>'CUSTO POR MUNICÍPIO'!U103</f>
        <v>16710.473461818183</v>
      </c>
      <c r="F102" s="613">
        <f>'CUSTO POR MUNICÍPIO'!V103</f>
        <v>334.20946923636365</v>
      </c>
      <c r="G102" s="613">
        <f>'CUSTO POR MUNICÍPIO'!W103</f>
        <v>17044.682931054547</v>
      </c>
    </row>
    <row r="103" spans="1:7">
      <c r="A103" s="604">
        <f>'CADASTRO V-T e ISS'!A104</f>
        <v>99</v>
      </c>
      <c r="B103" s="605" t="str">
        <f>'CADASTRO V-T e ISS'!B104</f>
        <v>Juazeiro do Norte</v>
      </c>
      <c r="C103" s="604">
        <f>'CADASTRO V-T e ISS'!P104</f>
        <v>42</v>
      </c>
      <c r="D103" s="607">
        <f>'CADASTRO V-T e ISS'!G104</f>
        <v>0</v>
      </c>
      <c r="E103" s="613">
        <f>'CUSTO POR MUNICÍPIO'!U104</f>
        <v>383781.39178909094</v>
      </c>
      <c r="F103" s="613">
        <f>'CUSTO POR MUNICÍPIO'!V104</f>
        <v>7675.6278357818192</v>
      </c>
      <c r="G103" s="613">
        <f>'CUSTO POR MUNICÍPIO'!W104</f>
        <v>391457.01962487277</v>
      </c>
    </row>
    <row r="104" spans="1:7">
      <c r="A104" s="604">
        <f>'CADASTRO V-T e ISS'!A105</f>
        <v>100</v>
      </c>
      <c r="B104" s="605" t="str">
        <f>'CADASTRO V-T e ISS'!B105</f>
        <v>Jucás</v>
      </c>
      <c r="C104" s="604">
        <f>'CADASTRO V-T e ISS'!P105</f>
        <v>2</v>
      </c>
      <c r="D104" s="607">
        <f>'CADASTRO V-T e ISS'!G105</f>
        <v>0</v>
      </c>
      <c r="E104" s="613">
        <f>'CUSTO POR MUNICÍPIO'!U105</f>
        <v>16710.473461818183</v>
      </c>
      <c r="F104" s="613">
        <f>'CUSTO POR MUNICÍPIO'!V105</f>
        <v>334.20946923636365</v>
      </c>
      <c r="G104" s="613">
        <f>'CUSTO POR MUNICÍPIO'!W105</f>
        <v>17044.682931054547</v>
      </c>
    </row>
    <row r="105" spans="1:7">
      <c r="A105" s="604">
        <f>'CADASTRO V-T e ISS'!A106</f>
        <v>101</v>
      </c>
      <c r="B105" s="605" t="str">
        <f>'CADASTRO V-T e ISS'!B106</f>
        <v>Lavras da Mangabeira</v>
      </c>
      <c r="C105" s="604">
        <f>'CADASTRO V-T e ISS'!P106</f>
        <v>3</v>
      </c>
      <c r="D105" s="607">
        <f>'CADASTRO V-T e ISS'!G106</f>
        <v>0</v>
      </c>
      <c r="E105" s="613">
        <f>'CUSTO POR MUNICÍPIO'!U106</f>
        <v>24992.082920000004</v>
      </c>
      <c r="F105" s="613">
        <f>'CUSTO POR MUNICÍPIO'!V106</f>
        <v>499.84165840000009</v>
      </c>
      <c r="G105" s="613">
        <f>'CUSTO POR MUNICÍPIO'!W106</f>
        <v>25491.924578400005</v>
      </c>
    </row>
    <row r="106" spans="1:7">
      <c r="A106" s="604">
        <f>'CADASTRO V-T e ISS'!A107</f>
        <v>102</v>
      </c>
      <c r="B106" s="605" t="str">
        <f>'CADASTRO V-T e ISS'!B107</f>
        <v>Limoeiro do Norte</v>
      </c>
      <c r="C106" s="604">
        <f>'CADASTRO V-T e ISS'!P107</f>
        <v>3</v>
      </c>
      <c r="D106" s="607">
        <f>'CADASTRO V-T e ISS'!G107</f>
        <v>0</v>
      </c>
      <c r="E106" s="613">
        <f>'CUSTO POR MUNICÍPIO'!U107</f>
        <v>24992.082920000004</v>
      </c>
      <c r="F106" s="613">
        <f>'CUSTO POR MUNICÍPIO'!V107</f>
        <v>499.84165840000009</v>
      </c>
      <c r="G106" s="613">
        <f>'CUSTO POR MUNICÍPIO'!W107</f>
        <v>25491.924578400005</v>
      </c>
    </row>
    <row r="107" spans="1:7">
      <c r="A107" s="604">
        <f>'CADASTRO V-T e ISS'!A108</f>
        <v>103</v>
      </c>
      <c r="B107" s="605" t="str">
        <f>'CADASTRO V-T e ISS'!B108</f>
        <v>Madalena</v>
      </c>
      <c r="C107" s="604">
        <f>'CADASTRO V-T e ISS'!P108</f>
        <v>0</v>
      </c>
      <c r="D107" s="607">
        <f>'CADASTRO V-T e ISS'!G108</f>
        <v>0</v>
      </c>
      <c r="E107" s="613">
        <f>'CUSTO POR MUNICÍPIO'!U108</f>
        <v>0</v>
      </c>
      <c r="F107" s="613">
        <f>'CUSTO POR MUNICÍPIO'!V108</f>
        <v>0</v>
      </c>
      <c r="G107" s="613">
        <f>'CUSTO POR MUNICÍPIO'!W108</f>
        <v>0</v>
      </c>
    </row>
    <row r="108" spans="1:7">
      <c r="A108" s="604">
        <f>'CADASTRO V-T e ISS'!A109</f>
        <v>104</v>
      </c>
      <c r="B108" s="605" t="str">
        <f>'CADASTRO V-T e ISS'!B109</f>
        <v>Maracanaú</v>
      </c>
      <c r="C108" s="604">
        <f>'CADASTRO V-T e ISS'!P109</f>
        <v>19</v>
      </c>
      <c r="D108" s="607">
        <f>'CADASTRO V-T e ISS'!G109</f>
        <v>0</v>
      </c>
      <c r="E108" s="613">
        <f>'CUSTO POR MUNICÍPIO'!U109</f>
        <v>181594.88879636367</v>
      </c>
      <c r="F108" s="613">
        <f>'CUSTO POR MUNICÍPIO'!V109</f>
        <v>3631.8977759272734</v>
      </c>
      <c r="G108" s="613">
        <f>'CUSTO POR MUNICÍPIO'!W109</f>
        <v>185226.78657229093</v>
      </c>
    </row>
    <row r="109" spans="1:7">
      <c r="A109" s="604">
        <f>'CADASTRO V-T e ISS'!A110</f>
        <v>105</v>
      </c>
      <c r="B109" s="605" t="str">
        <f>'CADASTRO V-T e ISS'!B110</f>
        <v>Maranguape</v>
      </c>
      <c r="C109" s="604">
        <f>'CADASTRO V-T e ISS'!P110</f>
        <v>3</v>
      </c>
      <c r="D109" s="607">
        <f>'CADASTRO V-T e ISS'!G110</f>
        <v>0</v>
      </c>
      <c r="E109" s="613">
        <f>'CUSTO POR MUNICÍPIO'!U110</f>
        <v>24992.082920000004</v>
      </c>
      <c r="F109" s="613">
        <f>'CUSTO POR MUNICÍPIO'!V110</f>
        <v>499.84165840000009</v>
      </c>
      <c r="G109" s="613">
        <f>'CUSTO POR MUNICÍPIO'!W110</f>
        <v>25491.924578400005</v>
      </c>
    </row>
    <row r="110" spans="1:7">
      <c r="A110" s="604">
        <f>'CADASTRO V-T e ISS'!A111</f>
        <v>106</v>
      </c>
      <c r="B110" s="605" t="str">
        <f>'CADASTRO V-T e ISS'!B111</f>
        <v>Marco</v>
      </c>
      <c r="C110" s="604">
        <f>'CADASTRO V-T e ISS'!P111</f>
        <v>2</v>
      </c>
      <c r="D110" s="607">
        <f>'CADASTRO V-T e ISS'!G111</f>
        <v>0</v>
      </c>
      <c r="E110" s="613">
        <f>'CUSTO POR MUNICÍPIO'!U111</f>
        <v>16710.473461818183</v>
      </c>
      <c r="F110" s="613">
        <f>'CUSTO POR MUNICÍPIO'!V111</f>
        <v>334.20946923636365</v>
      </c>
      <c r="G110" s="613">
        <f>'CUSTO POR MUNICÍPIO'!W111</f>
        <v>17044.682931054547</v>
      </c>
    </row>
    <row r="111" spans="1:7">
      <c r="A111" s="604">
        <f>'CADASTRO V-T e ISS'!A112</f>
        <v>107</v>
      </c>
      <c r="B111" s="605" t="str">
        <f>'CADASTRO V-T e ISS'!B112</f>
        <v>Martinópole</v>
      </c>
      <c r="C111" s="604">
        <f>'CADASTRO V-T e ISS'!P112</f>
        <v>0</v>
      </c>
      <c r="D111" s="607">
        <f>'CADASTRO V-T e ISS'!G112</f>
        <v>0</v>
      </c>
      <c r="E111" s="613">
        <f>'CUSTO POR MUNICÍPIO'!U112</f>
        <v>0</v>
      </c>
      <c r="F111" s="613">
        <f>'CUSTO POR MUNICÍPIO'!V112</f>
        <v>0</v>
      </c>
      <c r="G111" s="613">
        <f>'CUSTO POR MUNICÍPIO'!W112</f>
        <v>0</v>
      </c>
    </row>
    <row r="112" spans="1:7">
      <c r="A112" s="604">
        <f>'CADASTRO V-T e ISS'!A113</f>
        <v>108</v>
      </c>
      <c r="B112" s="605" t="str">
        <f>'CADASTRO V-T e ISS'!B113</f>
        <v>Massapê</v>
      </c>
      <c r="C112" s="604">
        <f>'CADASTRO V-T e ISS'!P113</f>
        <v>3</v>
      </c>
      <c r="D112" s="607">
        <f>'CADASTRO V-T e ISS'!G113</f>
        <v>0</v>
      </c>
      <c r="E112" s="613">
        <f>'CUSTO POR MUNICÍPIO'!U113</f>
        <v>24992.082920000004</v>
      </c>
      <c r="F112" s="613">
        <f>'CUSTO POR MUNICÍPIO'!V113</f>
        <v>499.84165840000009</v>
      </c>
      <c r="G112" s="613">
        <f>'CUSTO POR MUNICÍPIO'!W113</f>
        <v>25491.924578400005</v>
      </c>
    </row>
    <row r="113" spans="1:7">
      <c r="A113" s="604">
        <f>'CADASTRO V-T e ISS'!A114</f>
        <v>109</v>
      </c>
      <c r="B113" s="605" t="str">
        <f>'CADASTRO V-T e ISS'!B114</f>
        <v>Mauriti</v>
      </c>
      <c r="C113" s="604">
        <f>'CADASTRO V-T e ISS'!P114</f>
        <v>2</v>
      </c>
      <c r="D113" s="607">
        <f>'CADASTRO V-T e ISS'!G114</f>
        <v>0</v>
      </c>
      <c r="E113" s="613">
        <f>'CUSTO POR MUNICÍPIO'!U114</f>
        <v>16710.473461818183</v>
      </c>
      <c r="F113" s="613">
        <f>'CUSTO POR MUNICÍPIO'!V114</f>
        <v>334.20946923636365</v>
      </c>
      <c r="G113" s="613">
        <f>'CUSTO POR MUNICÍPIO'!W114</f>
        <v>17044.682931054547</v>
      </c>
    </row>
    <row r="114" spans="1:7">
      <c r="A114" s="604">
        <f>'CADASTRO V-T e ISS'!A115</f>
        <v>110</v>
      </c>
      <c r="B114" s="605" t="str">
        <f>'CADASTRO V-T e ISS'!B115</f>
        <v>Meruoca</v>
      </c>
      <c r="C114" s="604">
        <f>'CADASTRO V-T e ISS'!P115</f>
        <v>0</v>
      </c>
      <c r="D114" s="607">
        <f>'CADASTRO V-T e ISS'!G115</f>
        <v>0</v>
      </c>
      <c r="E114" s="613">
        <f>'CUSTO POR MUNICÍPIO'!U115</f>
        <v>0</v>
      </c>
      <c r="F114" s="613">
        <f>'CUSTO POR MUNICÍPIO'!V115</f>
        <v>0</v>
      </c>
      <c r="G114" s="613">
        <f>'CUSTO POR MUNICÍPIO'!W115</f>
        <v>0</v>
      </c>
    </row>
    <row r="115" spans="1:7">
      <c r="A115" s="604">
        <f>'CADASTRO V-T e ISS'!A116</f>
        <v>111</v>
      </c>
      <c r="B115" s="605" t="str">
        <f>'CADASTRO V-T e ISS'!B116</f>
        <v>Milagres</v>
      </c>
      <c r="C115" s="604">
        <f>'CADASTRO V-T e ISS'!P116</f>
        <v>2</v>
      </c>
      <c r="D115" s="607">
        <f>'CADASTRO V-T e ISS'!G116</f>
        <v>0</v>
      </c>
      <c r="E115" s="613">
        <f>'CUSTO POR MUNICÍPIO'!U116</f>
        <v>16710.473461818183</v>
      </c>
      <c r="F115" s="613">
        <f>'CUSTO POR MUNICÍPIO'!V116</f>
        <v>334.20946923636365</v>
      </c>
      <c r="G115" s="613">
        <f>'CUSTO POR MUNICÍPIO'!W116</f>
        <v>17044.682931054547</v>
      </c>
    </row>
    <row r="116" spans="1:7">
      <c r="A116" s="604">
        <f>'CADASTRO V-T e ISS'!A117</f>
        <v>112</v>
      </c>
      <c r="B116" s="605" t="str">
        <f>'CADASTRO V-T e ISS'!B117</f>
        <v>Milhã</v>
      </c>
      <c r="C116" s="604">
        <f>'CADASTRO V-T e ISS'!P117</f>
        <v>0</v>
      </c>
      <c r="D116" s="607">
        <f>'CADASTRO V-T e ISS'!G117</f>
        <v>0</v>
      </c>
      <c r="E116" s="613">
        <f>'CUSTO POR MUNICÍPIO'!U117</f>
        <v>0</v>
      </c>
      <c r="F116" s="613">
        <f>'CUSTO POR MUNICÍPIO'!V117</f>
        <v>0</v>
      </c>
      <c r="G116" s="613">
        <f>'CUSTO POR MUNICÍPIO'!W117</f>
        <v>0</v>
      </c>
    </row>
    <row r="117" spans="1:7">
      <c r="A117" s="604">
        <f>'CADASTRO V-T e ISS'!A118</f>
        <v>113</v>
      </c>
      <c r="B117" s="605" t="str">
        <f>'CADASTRO V-T e ISS'!B118</f>
        <v>Miraíma</v>
      </c>
      <c r="C117" s="604">
        <f>'CADASTRO V-T e ISS'!P118</f>
        <v>0</v>
      </c>
      <c r="D117" s="607">
        <f>'CADASTRO V-T e ISS'!G118</f>
        <v>0</v>
      </c>
      <c r="E117" s="613">
        <f>'CUSTO POR MUNICÍPIO'!U118</f>
        <v>0</v>
      </c>
      <c r="F117" s="613">
        <f>'CUSTO POR MUNICÍPIO'!V118</f>
        <v>0</v>
      </c>
      <c r="G117" s="613">
        <f>'CUSTO POR MUNICÍPIO'!W118</f>
        <v>0</v>
      </c>
    </row>
    <row r="118" spans="1:7">
      <c r="A118" s="604">
        <f>'CADASTRO V-T e ISS'!A119</f>
        <v>114</v>
      </c>
      <c r="B118" s="605" t="str">
        <f>'CADASTRO V-T e ISS'!B119</f>
        <v>Missão Velha</v>
      </c>
      <c r="C118" s="604">
        <f>'CADASTRO V-T e ISS'!P119</f>
        <v>2</v>
      </c>
      <c r="D118" s="607">
        <f>'CADASTRO V-T e ISS'!G119</f>
        <v>0</v>
      </c>
      <c r="E118" s="613">
        <f>'CUSTO POR MUNICÍPIO'!U119</f>
        <v>16710.473461818183</v>
      </c>
      <c r="F118" s="613">
        <f>'CUSTO POR MUNICÍPIO'!V119</f>
        <v>334.20946923636365</v>
      </c>
      <c r="G118" s="613">
        <f>'CUSTO POR MUNICÍPIO'!W119</f>
        <v>17044.682931054547</v>
      </c>
    </row>
    <row r="119" spans="1:7">
      <c r="A119" s="604">
        <f>'CADASTRO V-T e ISS'!A120</f>
        <v>115</v>
      </c>
      <c r="B119" s="605" t="str">
        <f>'CADASTRO V-T e ISS'!B120</f>
        <v>Mombaça</v>
      </c>
      <c r="C119" s="604">
        <f>'CADASTRO V-T e ISS'!P120</f>
        <v>3</v>
      </c>
      <c r="D119" s="607">
        <f>'CADASTRO V-T e ISS'!G120</f>
        <v>0</v>
      </c>
      <c r="E119" s="613">
        <f>'CUSTO POR MUNICÍPIO'!U120</f>
        <v>24992.082920000004</v>
      </c>
      <c r="F119" s="613">
        <f>'CUSTO POR MUNICÍPIO'!V120</f>
        <v>499.84165840000009</v>
      </c>
      <c r="G119" s="613">
        <f>'CUSTO POR MUNICÍPIO'!W120</f>
        <v>25491.924578400005</v>
      </c>
    </row>
    <row r="120" spans="1:7">
      <c r="A120" s="604">
        <f>'CADASTRO V-T e ISS'!A121</f>
        <v>116</v>
      </c>
      <c r="B120" s="605" t="str">
        <f>'CADASTRO V-T e ISS'!B121</f>
        <v>Monsenhor Tabosa</v>
      </c>
      <c r="C120" s="604">
        <f>'CADASTRO V-T e ISS'!P121</f>
        <v>2</v>
      </c>
      <c r="D120" s="607">
        <f>'CADASTRO V-T e ISS'!G121</f>
        <v>0</v>
      </c>
      <c r="E120" s="613">
        <f>'CUSTO POR MUNICÍPIO'!U121</f>
        <v>16710.473461818183</v>
      </c>
      <c r="F120" s="613">
        <f>'CUSTO POR MUNICÍPIO'!V121</f>
        <v>334.20946923636365</v>
      </c>
      <c r="G120" s="613">
        <f>'CUSTO POR MUNICÍPIO'!W121</f>
        <v>17044.682931054547</v>
      </c>
    </row>
    <row r="121" spans="1:7">
      <c r="A121" s="604">
        <f>'CADASTRO V-T e ISS'!A122</f>
        <v>117</v>
      </c>
      <c r="B121" s="605" t="str">
        <f>'CADASTRO V-T e ISS'!B122</f>
        <v>Morada Nova</v>
      </c>
      <c r="C121" s="604">
        <f>'CADASTRO V-T e ISS'!P122</f>
        <v>3</v>
      </c>
      <c r="D121" s="607">
        <f>'CADASTRO V-T e ISS'!G122</f>
        <v>0</v>
      </c>
      <c r="E121" s="613">
        <f>'CUSTO POR MUNICÍPIO'!U122</f>
        <v>24992.082920000004</v>
      </c>
      <c r="F121" s="613">
        <f>'CUSTO POR MUNICÍPIO'!V122</f>
        <v>499.84165840000009</v>
      </c>
      <c r="G121" s="613">
        <f>'CUSTO POR MUNICÍPIO'!W122</f>
        <v>25491.924578400005</v>
      </c>
    </row>
    <row r="122" spans="1:7">
      <c r="A122" s="604">
        <f>'CADASTRO V-T e ISS'!A123</f>
        <v>118</v>
      </c>
      <c r="B122" s="605" t="str">
        <f>'CADASTRO V-T e ISS'!B123</f>
        <v>Moraújo</v>
      </c>
      <c r="C122" s="604">
        <f>'CADASTRO V-T e ISS'!P123</f>
        <v>0</v>
      </c>
      <c r="D122" s="607">
        <f>'CADASTRO V-T e ISS'!G123</f>
        <v>0</v>
      </c>
      <c r="E122" s="613">
        <f>'CUSTO POR MUNICÍPIO'!U123</f>
        <v>0</v>
      </c>
      <c r="F122" s="613">
        <f>'CUSTO POR MUNICÍPIO'!V123</f>
        <v>0</v>
      </c>
      <c r="G122" s="613">
        <f>'CUSTO POR MUNICÍPIO'!W123</f>
        <v>0</v>
      </c>
    </row>
    <row r="123" spans="1:7">
      <c r="A123" s="604">
        <f>'CADASTRO V-T e ISS'!A124</f>
        <v>119</v>
      </c>
      <c r="B123" s="605" t="str">
        <f>'CADASTRO V-T e ISS'!B124</f>
        <v>Morrinhos</v>
      </c>
      <c r="C123" s="604">
        <f>'CADASTRO V-T e ISS'!P124</f>
        <v>0</v>
      </c>
      <c r="D123" s="607">
        <f>'CADASTRO V-T e ISS'!G124</f>
        <v>0</v>
      </c>
      <c r="E123" s="613">
        <f>'CUSTO POR MUNICÍPIO'!U124</f>
        <v>0</v>
      </c>
      <c r="F123" s="613">
        <f>'CUSTO POR MUNICÍPIO'!V124</f>
        <v>0</v>
      </c>
      <c r="G123" s="613">
        <f>'CUSTO POR MUNICÍPIO'!W124</f>
        <v>0</v>
      </c>
    </row>
    <row r="124" spans="1:7">
      <c r="A124" s="604">
        <f>'CADASTRO V-T e ISS'!A125</f>
        <v>120</v>
      </c>
      <c r="B124" s="605" t="str">
        <f>'CADASTRO V-T e ISS'!B125</f>
        <v>Mucambo</v>
      </c>
      <c r="C124" s="604">
        <f>'CADASTRO V-T e ISS'!P125</f>
        <v>2</v>
      </c>
      <c r="D124" s="607">
        <f>'CADASTRO V-T e ISS'!G125</f>
        <v>0</v>
      </c>
      <c r="E124" s="613">
        <f>'CUSTO POR MUNICÍPIO'!U125</f>
        <v>16710.473461818183</v>
      </c>
      <c r="F124" s="613">
        <f>'CUSTO POR MUNICÍPIO'!V125</f>
        <v>334.20946923636365</v>
      </c>
      <c r="G124" s="613">
        <f>'CUSTO POR MUNICÍPIO'!W125</f>
        <v>17044.682931054547</v>
      </c>
    </row>
    <row r="125" spans="1:7">
      <c r="A125" s="604">
        <f>'CADASTRO V-T e ISS'!A126</f>
        <v>121</v>
      </c>
      <c r="B125" s="605" t="str">
        <f>'CADASTRO V-T e ISS'!B126</f>
        <v>Mulungu</v>
      </c>
      <c r="C125" s="604">
        <f>'CADASTRO V-T e ISS'!P126</f>
        <v>2</v>
      </c>
      <c r="D125" s="607">
        <f>'CADASTRO V-T e ISS'!G126</f>
        <v>0</v>
      </c>
      <c r="E125" s="613">
        <f>'CUSTO POR MUNICÍPIO'!U126</f>
        <v>16710.473461818183</v>
      </c>
      <c r="F125" s="613">
        <f>'CUSTO POR MUNICÍPIO'!V126</f>
        <v>334.20946923636365</v>
      </c>
      <c r="G125" s="613">
        <f>'CUSTO POR MUNICÍPIO'!W126</f>
        <v>17044.682931054547</v>
      </c>
    </row>
    <row r="126" spans="1:7">
      <c r="A126" s="604">
        <f>'CADASTRO V-T e ISS'!A127</f>
        <v>122</v>
      </c>
      <c r="B126" s="605" t="str">
        <f>'CADASTRO V-T e ISS'!B127</f>
        <v>Nova Olinda</v>
      </c>
      <c r="C126" s="604">
        <f>'CADASTRO V-T e ISS'!P127</f>
        <v>2</v>
      </c>
      <c r="D126" s="607">
        <f>'CADASTRO V-T e ISS'!G127</f>
        <v>0</v>
      </c>
      <c r="E126" s="613">
        <f>'CUSTO POR MUNICÍPIO'!U127</f>
        <v>16710.473461818183</v>
      </c>
      <c r="F126" s="613">
        <f>'CUSTO POR MUNICÍPIO'!V127</f>
        <v>334.20946923636365</v>
      </c>
      <c r="G126" s="613">
        <f>'CUSTO POR MUNICÍPIO'!W127</f>
        <v>17044.682931054547</v>
      </c>
    </row>
    <row r="127" spans="1:7">
      <c r="A127" s="604">
        <f>'CADASTRO V-T e ISS'!A128</f>
        <v>123</v>
      </c>
      <c r="B127" s="605" t="str">
        <f>'CADASTRO V-T e ISS'!B128</f>
        <v>Nova Russas</v>
      </c>
      <c r="C127" s="604">
        <f>'CADASTRO V-T e ISS'!P128</f>
        <v>3</v>
      </c>
      <c r="D127" s="607">
        <f>'CADASTRO V-T e ISS'!G128</f>
        <v>0</v>
      </c>
      <c r="E127" s="613">
        <f>'CUSTO POR MUNICÍPIO'!U128</f>
        <v>24992.082920000004</v>
      </c>
      <c r="F127" s="613">
        <f>'CUSTO POR MUNICÍPIO'!V128</f>
        <v>499.84165840000009</v>
      </c>
      <c r="G127" s="613">
        <f>'CUSTO POR MUNICÍPIO'!W128</f>
        <v>25491.924578400005</v>
      </c>
    </row>
    <row r="128" spans="1:7">
      <c r="A128" s="604">
        <f>'CADASTRO V-T e ISS'!A129</f>
        <v>124</v>
      </c>
      <c r="B128" s="605" t="str">
        <f>'CADASTRO V-T e ISS'!B129</f>
        <v>Novo Oriente</v>
      </c>
      <c r="C128" s="604">
        <f>'CADASTRO V-T e ISS'!P129</f>
        <v>2</v>
      </c>
      <c r="D128" s="607">
        <f>'CADASTRO V-T e ISS'!G129</f>
        <v>0</v>
      </c>
      <c r="E128" s="613">
        <f>'CUSTO POR MUNICÍPIO'!U129</f>
        <v>16710.473461818183</v>
      </c>
      <c r="F128" s="613">
        <f>'CUSTO POR MUNICÍPIO'!V129</f>
        <v>334.20946923636365</v>
      </c>
      <c r="G128" s="613">
        <f>'CUSTO POR MUNICÍPIO'!W129</f>
        <v>17044.682931054547</v>
      </c>
    </row>
    <row r="129" spans="1:7">
      <c r="A129" s="604">
        <f>'CADASTRO V-T e ISS'!A130</f>
        <v>125</v>
      </c>
      <c r="B129" s="605" t="str">
        <f>'CADASTRO V-T e ISS'!B130</f>
        <v>Ocara</v>
      </c>
      <c r="C129" s="604">
        <f>'CADASTRO V-T e ISS'!P130</f>
        <v>2</v>
      </c>
      <c r="D129" s="607">
        <f>'CADASTRO V-T e ISS'!G130</f>
        <v>0</v>
      </c>
      <c r="E129" s="613">
        <f>'CUSTO POR MUNICÍPIO'!U130</f>
        <v>16710.473461818183</v>
      </c>
      <c r="F129" s="613">
        <f>'CUSTO POR MUNICÍPIO'!V130</f>
        <v>334.20946923636365</v>
      </c>
      <c r="G129" s="613">
        <f>'CUSTO POR MUNICÍPIO'!W130</f>
        <v>17044.682931054547</v>
      </c>
    </row>
    <row r="130" spans="1:7">
      <c r="A130" s="604">
        <f>'CADASTRO V-T e ISS'!A131</f>
        <v>126</v>
      </c>
      <c r="B130" s="605" t="str">
        <f>'CADASTRO V-T e ISS'!B131</f>
        <v>Orós</v>
      </c>
      <c r="C130" s="604">
        <f>'CADASTRO V-T e ISS'!P131</f>
        <v>0</v>
      </c>
      <c r="D130" s="607">
        <f>'CADASTRO V-T e ISS'!G131</f>
        <v>0</v>
      </c>
      <c r="E130" s="613">
        <f>'CUSTO POR MUNICÍPIO'!U131</f>
        <v>0</v>
      </c>
      <c r="F130" s="613">
        <f>'CUSTO POR MUNICÍPIO'!V131</f>
        <v>0</v>
      </c>
      <c r="G130" s="613">
        <f>'CUSTO POR MUNICÍPIO'!W131</f>
        <v>0</v>
      </c>
    </row>
    <row r="131" spans="1:7">
      <c r="A131" s="604">
        <f>'CADASTRO V-T e ISS'!A132</f>
        <v>127</v>
      </c>
      <c r="B131" s="605" t="str">
        <f>'CADASTRO V-T e ISS'!B132</f>
        <v>Pacajus</v>
      </c>
      <c r="C131" s="604">
        <f>'CADASTRO V-T e ISS'!P132</f>
        <v>3</v>
      </c>
      <c r="D131" s="607">
        <f>'CADASTRO V-T e ISS'!G132</f>
        <v>0</v>
      </c>
      <c r="E131" s="613">
        <f>'CUSTO POR MUNICÍPIO'!U132</f>
        <v>24992.082920000004</v>
      </c>
      <c r="F131" s="613">
        <f>'CUSTO POR MUNICÍPIO'!V132</f>
        <v>499.84165840000009</v>
      </c>
      <c r="G131" s="613">
        <f>'CUSTO POR MUNICÍPIO'!W132</f>
        <v>25491.924578400005</v>
      </c>
    </row>
    <row r="132" spans="1:7">
      <c r="A132" s="604">
        <f>'CADASTRO V-T e ISS'!A133</f>
        <v>128</v>
      </c>
      <c r="B132" s="605" t="str">
        <f>'CADASTRO V-T e ISS'!B133</f>
        <v>Pacatuba</v>
      </c>
      <c r="C132" s="604">
        <f>'CADASTRO V-T e ISS'!P133</f>
        <v>3</v>
      </c>
      <c r="D132" s="607">
        <f>'CADASTRO V-T e ISS'!G133</f>
        <v>0</v>
      </c>
      <c r="E132" s="613">
        <f>'CUSTO POR MUNICÍPIO'!U133</f>
        <v>24992.082920000004</v>
      </c>
      <c r="F132" s="613">
        <f>'CUSTO POR MUNICÍPIO'!V133</f>
        <v>499.84165840000009</v>
      </c>
      <c r="G132" s="613">
        <f>'CUSTO POR MUNICÍPIO'!W133</f>
        <v>25491.924578400005</v>
      </c>
    </row>
    <row r="133" spans="1:7">
      <c r="A133" s="604">
        <f>'CADASTRO V-T e ISS'!A134</f>
        <v>129</v>
      </c>
      <c r="B133" s="605" t="str">
        <f>'CADASTRO V-T e ISS'!B134</f>
        <v>Pacoti</v>
      </c>
      <c r="C133" s="604">
        <f>'CADASTRO V-T e ISS'!P134</f>
        <v>2</v>
      </c>
      <c r="D133" s="607">
        <f>'CADASTRO V-T e ISS'!G134</f>
        <v>0</v>
      </c>
      <c r="E133" s="613">
        <f>'CUSTO POR MUNICÍPIO'!U134</f>
        <v>16710.473461818183</v>
      </c>
      <c r="F133" s="613">
        <f>'CUSTO POR MUNICÍPIO'!V134</f>
        <v>334.20946923636365</v>
      </c>
      <c r="G133" s="613">
        <f>'CUSTO POR MUNICÍPIO'!W134</f>
        <v>17044.682931054547</v>
      </c>
    </row>
    <row r="134" spans="1:7">
      <c r="A134" s="604">
        <f>'CADASTRO V-T e ISS'!A135</f>
        <v>130</v>
      </c>
      <c r="B134" s="605" t="str">
        <f>'CADASTRO V-T e ISS'!B135</f>
        <v>Pacujá</v>
      </c>
      <c r="C134" s="604">
        <f>'CADASTRO V-T e ISS'!P135</f>
        <v>0</v>
      </c>
      <c r="D134" s="607">
        <f>'CADASTRO V-T e ISS'!G135</f>
        <v>0</v>
      </c>
      <c r="E134" s="613">
        <f>'CUSTO POR MUNICÍPIO'!U135</f>
        <v>0</v>
      </c>
      <c r="F134" s="613">
        <f>'CUSTO POR MUNICÍPIO'!V135</f>
        <v>0</v>
      </c>
      <c r="G134" s="613">
        <f>'CUSTO POR MUNICÍPIO'!W135</f>
        <v>0</v>
      </c>
    </row>
    <row r="135" spans="1:7">
      <c r="A135" s="604">
        <f>'CADASTRO V-T e ISS'!A136</f>
        <v>131</v>
      </c>
      <c r="B135" s="605" t="str">
        <f>'CADASTRO V-T e ISS'!B136</f>
        <v>Palhano</v>
      </c>
      <c r="C135" s="604">
        <f>'CADASTRO V-T e ISS'!P136</f>
        <v>0</v>
      </c>
      <c r="D135" s="607">
        <f>'CADASTRO V-T e ISS'!G136</f>
        <v>0</v>
      </c>
      <c r="E135" s="613">
        <f>'CUSTO POR MUNICÍPIO'!U136</f>
        <v>0</v>
      </c>
      <c r="F135" s="613">
        <f>'CUSTO POR MUNICÍPIO'!V136</f>
        <v>0</v>
      </c>
      <c r="G135" s="613">
        <f>'CUSTO POR MUNICÍPIO'!W136</f>
        <v>0</v>
      </c>
    </row>
    <row r="136" spans="1:7">
      <c r="A136" s="604">
        <f>'CADASTRO V-T e ISS'!A137</f>
        <v>132</v>
      </c>
      <c r="B136" s="605" t="str">
        <f>'CADASTRO V-T e ISS'!B137</f>
        <v>Palmácia</v>
      </c>
      <c r="C136" s="604">
        <f>'CADASTRO V-T e ISS'!P137</f>
        <v>0</v>
      </c>
      <c r="D136" s="607">
        <f>'CADASTRO V-T e ISS'!G137</f>
        <v>0</v>
      </c>
      <c r="E136" s="613">
        <f>'CUSTO POR MUNICÍPIO'!U137</f>
        <v>0</v>
      </c>
      <c r="F136" s="613">
        <f>'CUSTO POR MUNICÍPIO'!V137</f>
        <v>0</v>
      </c>
      <c r="G136" s="613">
        <f>'CUSTO POR MUNICÍPIO'!W137</f>
        <v>0</v>
      </c>
    </row>
    <row r="137" spans="1:7">
      <c r="A137" s="604">
        <f>'CADASTRO V-T e ISS'!A138</f>
        <v>133</v>
      </c>
      <c r="B137" s="605" t="str">
        <f>'CADASTRO V-T e ISS'!B138</f>
        <v>Paracuru</v>
      </c>
      <c r="C137" s="604">
        <f>'CADASTRO V-T e ISS'!P138</f>
        <v>2</v>
      </c>
      <c r="D137" s="607">
        <f>'CADASTRO V-T e ISS'!G138</f>
        <v>0</v>
      </c>
      <c r="E137" s="613">
        <f>'CUSTO POR MUNICÍPIO'!U138</f>
        <v>16710.473461818183</v>
      </c>
      <c r="F137" s="613">
        <f>'CUSTO POR MUNICÍPIO'!V138</f>
        <v>334.20946923636365</v>
      </c>
      <c r="G137" s="613">
        <f>'CUSTO POR MUNICÍPIO'!W138</f>
        <v>17044.682931054547</v>
      </c>
    </row>
    <row r="138" spans="1:7">
      <c r="A138" s="604">
        <f>'CADASTRO V-T e ISS'!A139</f>
        <v>134</v>
      </c>
      <c r="B138" s="605" t="str">
        <f>'CADASTRO V-T e ISS'!B139</f>
        <v>Paraipaba</v>
      </c>
      <c r="C138" s="604">
        <f>'CADASTRO V-T e ISS'!P139</f>
        <v>2</v>
      </c>
      <c r="D138" s="607">
        <f>'CADASTRO V-T e ISS'!G139</f>
        <v>0</v>
      </c>
      <c r="E138" s="613">
        <f>'CUSTO POR MUNICÍPIO'!U139</f>
        <v>16710.473461818183</v>
      </c>
      <c r="F138" s="613">
        <f>'CUSTO POR MUNICÍPIO'!V139</f>
        <v>334.20946923636365</v>
      </c>
      <c r="G138" s="613">
        <f>'CUSTO POR MUNICÍPIO'!W139</f>
        <v>17044.682931054547</v>
      </c>
    </row>
    <row r="139" spans="1:7">
      <c r="A139" s="604">
        <f>'CADASTRO V-T e ISS'!A140</f>
        <v>135</v>
      </c>
      <c r="B139" s="605" t="str">
        <f>'CADASTRO V-T e ISS'!B140</f>
        <v>Parambu</v>
      </c>
      <c r="C139" s="604">
        <f>'CADASTRO V-T e ISS'!P140</f>
        <v>0</v>
      </c>
      <c r="D139" s="607">
        <f>'CADASTRO V-T e ISS'!G140</f>
        <v>0</v>
      </c>
      <c r="E139" s="613">
        <f>'CUSTO POR MUNICÍPIO'!U140</f>
        <v>0</v>
      </c>
      <c r="F139" s="613">
        <f>'CUSTO POR MUNICÍPIO'!V140</f>
        <v>0</v>
      </c>
      <c r="G139" s="613">
        <f>'CUSTO POR MUNICÍPIO'!W140</f>
        <v>0</v>
      </c>
    </row>
    <row r="140" spans="1:7">
      <c r="A140" s="604">
        <f>'CADASTRO V-T e ISS'!A141</f>
        <v>136</v>
      </c>
      <c r="B140" s="605" t="str">
        <f>'CADASTRO V-T e ISS'!B141</f>
        <v>Paramoti</v>
      </c>
      <c r="C140" s="604">
        <f>'CADASTRO V-T e ISS'!P141</f>
        <v>0</v>
      </c>
      <c r="D140" s="607">
        <f>'CADASTRO V-T e ISS'!G141</f>
        <v>0</v>
      </c>
      <c r="E140" s="613">
        <f>'CUSTO POR MUNICÍPIO'!U141</f>
        <v>0</v>
      </c>
      <c r="F140" s="613">
        <f>'CUSTO POR MUNICÍPIO'!V141</f>
        <v>0</v>
      </c>
      <c r="G140" s="613">
        <f>'CUSTO POR MUNICÍPIO'!W141</f>
        <v>0</v>
      </c>
    </row>
    <row r="141" spans="1:7">
      <c r="A141" s="604">
        <f>'CADASTRO V-T e ISS'!A142</f>
        <v>137</v>
      </c>
      <c r="B141" s="605" t="str">
        <f>'CADASTRO V-T e ISS'!B142</f>
        <v>Pedra Branca</v>
      </c>
      <c r="C141" s="604">
        <f>'CADASTRO V-T e ISS'!P142</f>
        <v>2</v>
      </c>
      <c r="D141" s="607">
        <f>'CADASTRO V-T e ISS'!G142</f>
        <v>0</v>
      </c>
      <c r="E141" s="613">
        <f>'CUSTO POR MUNICÍPIO'!U142</f>
        <v>16710.473461818183</v>
      </c>
      <c r="F141" s="613">
        <f>'CUSTO POR MUNICÍPIO'!V142</f>
        <v>334.20946923636365</v>
      </c>
      <c r="G141" s="613">
        <f>'CUSTO POR MUNICÍPIO'!W142</f>
        <v>17044.682931054547</v>
      </c>
    </row>
    <row r="142" spans="1:7">
      <c r="A142" s="604">
        <f>'CADASTRO V-T e ISS'!A143</f>
        <v>138</v>
      </c>
      <c r="B142" s="605" t="str">
        <f>'CADASTRO V-T e ISS'!B143</f>
        <v>Penaforte</v>
      </c>
      <c r="C142" s="604">
        <f>'CADASTRO V-T e ISS'!P143</f>
        <v>0</v>
      </c>
      <c r="D142" s="607">
        <f>'CADASTRO V-T e ISS'!G143</f>
        <v>0</v>
      </c>
      <c r="E142" s="613">
        <f>'CUSTO POR MUNICÍPIO'!U143</f>
        <v>0</v>
      </c>
      <c r="F142" s="613">
        <f>'CUSTO POR MUNICÍPIO'!V143</f>
        <v>0</v>
      </c>
      <c r="G142" s="613">
        <f>'CUSTO POR MUNICÍPIO'!W143</f>
        <v>0</v>
      </c>
    </row>
    <row r="143" spans="1:7">
      <c r="A143" s="604">
        <f>'CADASTRO V-T e ISS'!A144</f>
        <v>139</v>
      </c>
      <c r="B143" s="605" t="str">
        <f>'CADASTRO V-T e ISS'!B144</f>
        <v>Pentecoste</v>
      </c>
      <c r="C143" s="604">
        <f>'CADASTRO V-T e ISS'!P144</f>
        <v>2</v>
      </c>
      <c r="D143" s="607">
        <f>'CADASTRO V-T e ISS'!G144</f>
        <v>0</v>
      </c>
      <c r="E143" s="613">
        <f>'CUSTO POR MUNICÍPIO'!U144</f>
        <v>16710.473461818183</v>
      </c>
      <c r="F143" s="613">
        <f>'CUSTO POR MUNICÍPIO'!V144</f>
        <v>334.20946923636365</v>
      </c>
      <c r="G143" s="613">
        <f>'CUSTO POR MUNICÍPIO'!W144</f>
        <v>17044.682931054547</v>
      </c>
    </row>
    <row r="144" spans="1:7">
      <c r="A144" s="604">
        <f>'CADASTRO V-T e ISS'!A145</f>
        <v>140</v>
      </c>
      <c r="B144" s="605" t="str">
        <f>'CADASTRO V-T e ISS'!B145</f>
        <v>Pereiro</v>
      </c>
      <c r="C144" s="604">
        <f>'CADASTRO V-T e ISS'!P145</f>
        <v>2</v>
      </c>
      <c r="D144" s="607">
        <f>'CADASTRO V-T e ISS'!G145</f>
        <v>0</v>
      </c>
      <c r="E144" s="613">
        <f>'CUSTO POR MUNICÍPIO'!U145</f>
        <v>16710.473461818183</v>
      </c>
      <c r="F144" s="613">
        <f>'CUSTO POR MUNICÍPIO'!V145</f>
        <v>334.20946923636365</v>
      </c>
      <c r="G144" s="613">
        <f>'CUSTO POR MUNICÍPIO'!W145</f>
        <v>17044.682931054547</v>
      </c>
    </row>
    <row r="145" spans="1:7">
      <c r="A145" s="604">
        <f>'CADASTRO V-T e ISS'!A146</f>
        <v>141</v>
      </c>
      <c r="B145" s="605" t="str">
        <f>'CADASTRO V-T e ISS'!B146</f>
        <v>Pindoretama</v>
      </c>
      <c r="C145" s="604">
        <f>'CADASTRO V-T e ISS'!P146</f>
        <v>0</v>
      </c>
      <c r="D145" s="607">
        <f>'CADASTRO V-T e ISS'!G146</f>
        <v>0</v>
      </c>
      <c r="E145" s="613">
        <f>'CUSTO POR MUNICÍPIO'!U146</f>
        <v>0</v>
      </c>
      <c r="F145" s="613">
        <f>'CUSTO POR MUNICÍPIO'!V146</f>
        <v>0</v>
      </c>
      <c r="G145" s="613">
        <f>'CUSTO POR MUNICÍPIO'!W146</f>
        <v>0</v>
      </c>
    </row>
    <row r="146" spans="1:7">
      <c r="A146" s="604">
        <f>'CADASTRO V-T e ISS'!A147</f>
        <v>142</v>
      </c>
      <c r="B146" s="605" t="str">
        <f>'CADASTRO V-T e ISS'!B147</f>
        <v>Piquet Carneiro</v>
      </c>
      <c r="C146" s="604">
        <f>'CADASTRO V-T e ISS'!P147</f>
        <v>0</v>
      </c>
      <c r="D146" s="607">
        <f>'CADASTRO V-T e ISS'!G147</f>
        <v>0</v>
      </c>
      <c r="E146" s="613">
        <f>'CUSTO POR MUNICÍPIO'!U147</f>
        <v>0</v>
      </c>
      <c r="F146" s="613">
        <f>'CUSTO POR MUNICÍPIO'!V147</f>
        <v>0</v>
      </c>
      <c r="G146" s="613">
        <f>'CUSTO POR MUNICÍPIO'!W147</f>
        <v>0</v>
      </c>
    </row>
    <row r="147" spans="1:7">
      <c r="A147" s="604">
        <f>'CADASTRO V-T e ISS'!A148</f>
        <v>143</v>
      </c>
      <c r="B147" s="605" t="str">
        <f>'CADASTRO V-T e ISS'!B148</f>
        <v>Pires Ferreira</v>
      </c>
      <c r="C147" s="604">
        <f>'CADASTRO V-T e ISS'!P148</f>
        <v>0</v>
      </c>
      <c r="D147" s="607">
        <f>'CADASTRO V-T e ISS'!G148</f>
        <v>0</v>
      </c>
      <c r="E147" s="613">
        <f>'CUSTO POR MUNICÍPIO'!U148</f>
        <v>0</v>
      </c>
      <c r="F147" s="613">
        <f>'CUSTO POR MUNICÍPIO'!V148</f>
        <v>0</v>
      </c>
      <c r="G147" s="613">
        <f>'CUSTO POR MUNICÍPIO'!W148</f>
        <v>0</v>
      </c>
    </row>
    <row r="148" spans="1:7">
      <c r="A148" s="604">
        <f>'CADASTRO V-T e ISS'!A149</f>
        <v>144</v>
      </c>
      <c r="B148" s="605" t="str">
        <f>'CADASTRO V-T e ISS'!B149</f>
        <v>Poranga</v>
      </c>
      <c r="C148" s="604">
        <f>'CADASTRO V-T e ISS'!P149</f>
        <v>0</v>
      </c>
      <c r="D148" s="607">
        <f>'CADASTRO V-T e ISS'!G149</f>
        <v>0</v>
      </c>
      <c r="E148" s="613">
        <f>'CUSTO POR MUNICÍPIO'!U149</f>
        <v>0</v>
      </c>
      <c r="F148" s="613">
        <f>'CUSTO POR MUNICÍPIO'!V149</f>
        <v>0</v>
      </c>
      <c r="G148" s="613">
        <f>'CUSTO POR MUNICÍPIO'!W149</f>
        <v>0</v>
      </c>
    </row>
    <row r="149" spans="1:7">
      <c r="A149" s="604">
        <f>'CADASTRO V-T e ISS'!A150</f>
        <v>145</v>
      </c>
      <c r="B149" s="605" t="str">
        <f>'CADASTRO V-T e ISS'!B150</f>
        <v>Porteiras</v>
      </c>
      <c r="C149" s="604">
        <f>'CADASTRO V-T e ISS'!P150</f>
        <v>0</v>
      </c>
      <c r="D149" s="607">
        <f>'CADASTRO V-T e ISS'!G150</f>
        <v>0</v>
      </c>
      <c r="E149" s="613">
        <f>'CUSTO POR MUNICÍPIO'!U150</f>
        <v>0</v>
      </c>
      <c r="F149" s="613">
        <f>'CUSTO POR MUNICÍPIO'!V150</f>
        <v>0</v>
      </c>
      <c r="G149" s="613">
        <f>'CUSTO POR MUNICÍPIO'!W150</f>
        <v>0</v>
      </c>
    </row>
    <row r="150" spans="1:7">
      <c r="A150" s="604">
        <f>'CADASTRO V-T e ISS'!A151</f>
        <v>146</v>
      </c>
      <c r="B150" s="605" t="str">
        <f>'CADASTRO V-T e ISS'!B151</f>
        <v>Potengi</v>
      </c>
      <c r="C150" s="604">
        <f>'CADASTRO V-T e ISS'!P151</f>
        <v>0</v>
      </c>
      <c r="D150" s="607">
        <f>'CADASTRO V-T e ISS'!G151</f>
        <v>0</v>
      </c>
      <c r="E150" s="613">
        <f>'CUSTO POR MUNICÍPIO'!U151</f>
        <v>0</v>
      </c>
      <c r="F150" s="613">
        <f>'CUSTO POR MUNICÍPIO'!V151</f>
        <v>0</v>
      </c>
      <c r="G150" s="613">
        <f>'CUSTO POR MUNICÍPIO'!W151</f>
        <v>0</v>
      </c>
    </row>
    <row r="151" spans="1:7">
      <c r="A151" s="604">
        <f>'CADASTRO V-T e ISS'!A152</f>
        <v>147</v>
      </c>
      <c r="B151" s="605" t="str">
        <f>'CADASTRO V-T e ISS'!B152</f>
        <v>Potiretama</v>
      </c>
      <c r="C151" s="604">
        <f>'CADASTRO V-T e ISS'!P152</f>
        <v>0</v>
      </c>
      <c r="D151" s="607">
        <f>'CADASTRO V-T e ISS'!G152</f>
        <v>0</v>
      </c>
      <c r="E151" s="613">
        <f>'CUSTO POR MUNICÍPIO'!U152</f>
        <v>0</v>
      </c>
      <c r="F151" s="613">
        <f>'CUSTO POR MUNICÍPIO'!V152</f>
        <v>0</v>
      </c>
      <c r="G151" s="613">
        <f>'CUSTO POR MUNICÍPIO'!W152</f>
        <v>0</v>
      </c>
    </row>
    <row r="152" spans="1:7">
      <c r="A152" s="604">
        <f>'CADASTRO V-T e ISS'!A153</f>
        <v>148</v>
      </c>
      <c r="B152" s="605" t="str">
        <f>'CADASTRO V-T e ISS'!B153</f>
        <v>Quiterianópolis</v>
      </c>
      <c r="C152" s="604">
        <f>'CADASTRO V-T e ISS'!P153</f>
        <v>0</v>
      </c>
      <c r="D152" s="607">
        <f>'CADASTRO V-T e ISS'!G153</f>
        <v>0</v>
      </c>
      <c r="E152" s="613">
        <f>'CUSTO POR MUNICÍPIO'!U153</f>
        <v>0</v>
      </c>
      <c r="F152" s="613">
        <f>'CUSTO POR MUNICÍPIO'!V153</f>
        <v>0</v>
      </c>
      <c r="G152" s="613">
        <f>'CUSTO POR MUNICÍPIO'!W153</f>
        <v>0</v>
      </c>
    </row>
    <row r="153" spans="1:7">
      <c r="A153" s="604">
        <f>'CADASTRO V-T e ISS'!A154</f>
        <v>149</v>
      </c>
      <c r="B153" s="605" t="str">
        <f>'CADASTRO V-T e ISS'!B154</f>
        <v>Quixadá</v>
      </c>
      <c r="C153" s="604">
        <f>'CADASTRO V-T e ISS'!P154</f>
        <v>19</v>
      </c>
      <c r="D153" s="607">
        <f>'CADASTRO V-T e ISS'!G154</f>
        <v>0</v>
      </c>
      <c r="E153" s="613">
        <f>'CUSTO POR MUNICÍPIO'!U154</f>
        <v>185350.79606909095</v>
      </c>
      <c r="F153" s="613">
        <f>'CUSTO POR MUNICÍPIO'!V154</f>
        <v>3707.0159213818192</v>
      </c>
      <c r="G153" s="613">
        <f>'CUSTO POR MUNICÍPIO'!W154</f>
        <v>189057.81199047278</v>
      </c>
    </row>
    <row r="154" spans="1:7">
      <c r="A154" s="604">
        <f>'CADASTRO V-T e ISS'!A155</f>
        <v>150</v>
      </c>
      <c r="B154" s="605" t="str">
        <f>'CADASTRO V-T e ISS'!B155</f>
        <v>Quixelô</v>
      </c>
      <c r="C154" s="604">
        <f>'CADASTRO V-T e ISS'!P155</f>
        <v>0</v>
      </c>
      <c r="D154" s="607">
        <f>'CADASTRO V-T e ISS'!G155</f>
        <v>0</v>
      </c>
      <c r="E154" s="613">
        <f>'CUSTO POR MUNICÍPIO'!U155</f>
        <v>0</v>
      </c>
      <c r="F154" s="613">
        <f>'CUSTO POR MUNICÍPIO'!V155</f>
        <v>0</v>
      </c>
      <c r="G154" s="613">
        <f>'CUSTO POR MUNICÍPIO'!W155</f>
        <v>0</v>
      </c>
    </row>
    <row r="155" spans="1:7">
      <c r="A155" s="604">
        <f>'CADASTRO V-T e ISS'!A156</f>
        <v>151</v>
      </c>
      <c r="B155" s="605" t="str">
        <f>'CADASTRO V-T e ISS'!B156</f>
        <v>Quixeramobim</v>
      </c>
      <c r="C155" s="604">
        <f>'CADASTRO V-T e ISS'!P156</f>
        <v>3</v>
      </c>
      <c r="D155" s="607">
        <f>'CADASTRO V-T e ISS'!G156</f>
        <v>0</v>
      </c>
      <c r="E155" s="613">
        <f>'CUSTO POR MUNICÍPIO'!U156</f>
        <v>24992.082920000004</v>
      </c>
      <c r="F155" s="613">
        <f>'CUSTO POR MUNICÍPIO'!V156</f>
        <v>499.84165840000009</v>
      </c>
      <c r="G155" s="613">
        <f>'CUSTO POR MUNICÍPIO'!W156</f>
        <v>25491.924578400005</v>
      </c>
    </row>
    <row r="156" spans="1:7">
      <c r="A156" s="604">
        <f>'CADASTRO V-T e ISS'!A157</f>
        <v>152</v>
      </c>
      <c r="B156" s="605" t="str">
        <f>'CADASTRO V-T e ISS'!B157</f>
        <v>Quixeré</v>
      </c>
      <c r="C156" s="604">
        <f>'CADASTRO V-T e ISS'!P157</f>
        <v>0</v>
      </c>
      <c r="D156" s="607">
        <f>'CADASTRO V-T e ISS'!G157</f>
        <v>0</v>
      </c>
      <c r="E156" s="613">
        <f>'CUSTO POR MUNICÍPIO'!U157</f>
        <v>0</v>
      </c>
      <c r="F156" s="613">
        <f>'CUSTO POR MUNICÍPIO'!V157</f>
        <v>0</v>
      </c>
      <c r="G156" s="613">
        <f>'CUSTO POR MUNICÍPIO'!W157</f>
        <v>0</v>
      </c>
    </row>
    <row r="157" spans="1:7">
      <c r="A157" s="604">
        <f>'CADASTRO V-T e ISS'!A158</f>
        <v>153</v>
      </c>
      <c r="B157" s="605" t="str">
        <f>'CADASTRO V-T e ISS'!B158</f>
        <v>Redenção</v>
      </c>
      <c r="C157" s="604">
        <f>'CADASTRO V-T e ISS'!P158</f>
        <v>2</v>
      </c>
      <c r="D157" s="607">
        <f>'CADASTRO V-T e ISS'!G158</f>
        <v>0</v>
      </c>
      <c r="E157" s="613">
        <f>'CUSTO POR MUNICÍPIO'!U158</f>
        <v>16710.473461818183</v>
      </c>
      <c r="F157" s="613">
        <f>'CUSTO POR MUNICÍPIO'!V158</f>
        <v>334.20946923636365</v>
      </c>
      <c r="G157" s="613">
        <f>'CUSTO POR MUNICÍPIO'!W158</f>
        <v>17044.682931054547</v>
      </c>
    </row>
    <row r="158" spans="1:7">
      <c r="A158" s="604">
        <f>'CADASTRO V-T e ISS'!A159</f>
        <v>154</v>
      </c>
      <c r="B158" s="605" t="str">
        <f>'CADASTRO V-T e ISS'!B159</f>
        <v>Reriutaba</v>
      </c>
      <c r="C158" s="604">
        <f>'CADASTRO V-T e ISS'!P159</f>
        <v>2</v>
      </c>
      <c r="D158" s="607">
        <f>'CADASTRO V-T e ISS'!G159</f>
        <v>0</v>
      </c>
      <c r="E158" s="613">
        <f>'CUSTO POR MUNICÍPIO'!U159</f>
        <v>16710.473461818183</v>
      </c>
      <c r="F158" s="613">
        <f>'CUSTO POR MUNICÍPIO'!V159</f>
        <v>334.20946923636365</v>
      </c>
      <c r="G158" s="613">
        <f>'CUSTO POR MUNICÍPIO'!W159</f>
        <v>17044.682931054547</v>
      </c>
    </row>
    <row r="159" spans="1:7">
      <c r="A159" s="604">
        <f>'CADASTRO V-T e ISS'!A160</f>
        <v>155</v>
      </c>
      <c r="B159" s="605" t="str">
        <f>'CADASTRO V-T e ISS'!B160</f>
        <v>Russas</v>
      </c>
      <c r="C159" s="604">
        <f>'CADASTRO V-T e ISS'!P160</f>
        <v>3</v>
      </c>
      <c r="D159" s="607">
        <f>'CADASTRO V-T e ISS'!G160</f>
        <v>0</v>
      </c>
      <c r="E159" s="613">
        <f>'CUSTO POR MUNICÍPIO'!U160</f>
        <v>24992.082920000004</v>
      </c>
      <c r="F159" s="613">
        <f>'CUSTO POR MUNICÍPIO'!V160</f>
        <v>499.84165840000009</v>
      </c>
      <c r="G159" s="613">
        <f>'CUSTO POR MUNICÍPIO'!W160</f>
        <v>25491.924578400005</v>
      </c>
    </row>
    <row r="160" spans="1:7">
      <c r="A160" s="604">
        <f>'CADASTRO V-T e ISS'!A161</f>
        <v>156</v>
      </c>
      <c r="B160" s="605" t="str">
        <f>'CADASTRO V-T e ISS'!B161</f>
        <v>Saboeiro</v>
      </c>
      <c r="C160" s="604">
        <f>'CADASTRO V-T e ISS'!P161</f>
        <v>0</v>
      </c>
      <c r="D160" s="607">
        <f>'CADASTRO V-T e ISS'!G161</f>
        <v>0</v>
      </c>
      <c r="E160" s="613">
        <f>'CUSTO POR MUNICÍPIO'!U161</f>
        <v>0</v>
      </c>
      <c r="F160" s="613">
        <f>'CUSTO POR MUNICÍPIO'!V161</f>
        <v>0</v>
      </c>
      <c r="G160" s="613">
        <f>'CUSTO POR MUNICÍPIO'!W161</f>
        <v>0</v>
      </c>
    </row>
    <row r="161" spans="1:7">
      <c r="A161" s="604">
        <f>'CADASTRO V-T e ISS'!A162</f>
        <v>157</v>
      </c>
      <c r="B161" s="605" t="str">
        <f>'CADASTRO V-T e ISS'!B162</f>
        <v>Salitre</v>
      </c>
      <c r="C161" s="604">
        <f>'CADASTRO V-T e ISS'!P162</f>
        <v>0</v>
      </c>
      <c r="D161" s="607">
        <f>'CADASTRO V-T e ISS'!G162</f>
        <v>0</v>
      </c>
      <c r="E161" s="613">
        <f>'CUSTO POR MUNICÍPIO'!U162</f>
        <v>0</v>
      </c>
      <c r="F161" s="613">
        <f>'CUSTO POR MUNICÍPIO'!V162</f>
        <v>0</v>
      </c>
      <c r="G161" s="613">
        <f>'CUSTO POR MUNICÍPIO'!W162</f>
        <v>0</v>
      </c>
    </row>
    <row r="162" spans="1:7">
      <c r="A162" s="604">
        <f>'CADASTRO V-T e ISS'!A163</f>
        <v>158</v>
      </c>
      <c r="B162" s="605" t="str">
        <f>'CADASTRO V-T e ISS'!B163</f>
        <v>Santa Quitéria</v>
      </c>
      <c r="C162" s="604">
        <f>'CADASTRO V-T e ISS'!P163</f>
        <v>3</v>
      </c>
      <c r="D162" s="607">
        <f>'CADASTRO V-T e ISS'!G163</f>
        <v>0</v>
      </c>
      <c r="E162" s="613">
        <f>'CUSTO POR MUNICÍPIO'!U163</f>
        <v>24992.082920000004</v>
      </c>
      <c r="F162" s="613">
        <f>'CUSTO POR MUNICÍPIO'!V163</f>
        <v>499.84165840000009</v>
      </c>
      <c r="G162" s="613">
        <f>'CUSTO POR MUNICÍPIO'!W163</f>
        <v>25491.924578400005</v>
      </c>
    </row>
    <row r="163" spans="1:7">
      <c r="A163" s="604">
        <f>'CADASTRO V-T e ISS'!A164</f>
        <v>159</v>
      </c>
      <c r="B163" s="605" t="str">
        <f>'CADASTRO V-T e ISS'!B164</f>
        <v>Santana do Acaraú</v>
      </c>
      <c r="C163" s="604">
        <f>'CADASTRO V-T e ISS'!P164</f>
        <v>2</v>
      </c>
      <c r="D163" s="607">
        <f>'CADASTRO V-T e ISS'!G164</f>
        <v>0</v>
      </c>
      <c r="E163" s="613">
        <f>'CUSTO POR MUNICÍPIO'!U164</f>
        <v>16710.473461818183</v>
      </c>
      <c r="F163" s="613">
        <f>'CUSTO POR MUNICÍPIO'!V164</f>
        <v>334.20946923636365</v>
      </c>
      <c r="G163" s="613">
        <f>'CUSTO POR MUNICÍPIO'!W164</f>
        <v>17044.682931054547</v>
      </c>
    </row>
    <row r="164" spans="1:7">
      <c r="A164" s="604">
        <f>'CADASTRO V-T e ISS'!A165</f>
        <v>160</v>
      </c>
      <c r="B164" s="605" t="str">
        <f>'CADASTRO V-T e ISS'!B165</f>
        <v>Santana do Cariri</v>
      </c>
      <c r="C164" s="604">
        <f>'CADASTRO V-T e ISS'!P165</f>
        <v>0</v>
      </c>
      <c r="D164" s="607">
        <f>'CADASTRO V-T e ISS'!G165</f>
        <v>0</v>
      </c>
      <c r="E164" s="613">
        <f>'CUSTO POR MUNICÍPIO'!U165</f>
        <v>0</v>
      </c>
      <c r="F164" s="613">
        <f>'CUSTO POR MUNICÍPIO'!V165</f>
        <v>0</v>
      </c>
      <c r="G164" s="613">
        <f>'CUSTO POR MUNICÍPIO'!W165</f>
        <v>0</v>
      </c>
    </row>
    <row r="165" spans="1:7">
      <c r="A165" s="604">
        <f>'CADASTRO V-T e ISS'!A166</f>
        <v>161</v>
      </c>
      <c r="B165" s="605" t="str">
        <f>'CADASTRO V-T e ISS'!B166</f>
        <v>São Benedito</v>
      </c>
      <c r="C165" s="604">
        <f>'CADASTRO V-T e ISS'!P166</f>
        <v>3</v>
      </c>
      <c r="D165" s="607">
        <f>'CADASTRO V-T e ISS'!G166</f>
        <v>0</v>
      </c>
      <c r="E165" s="613">
        <f>'CUSTO POR MUNICÍPIO'!U166</f>
        <v>24992.082920000004</v>
      </c>
      <c r="F165" s="613">
        <f>'CUSTO POR MUNICÍPIO'!V166</f>
        <v>499.84165840000009</v>
      </c>
      <c r="G165" s="613">
        <f>'CUSTO POR MUNICÍPIO'!W166</f>
        <v>25491.924578400005</v>
      </c>
    </row>
    <row r="166" spans="1:7">
      <c r="A166" s="604">
        <f>'CADASTRO V-T e ISS'!A167</f>
        <v>162</v>
      </c>
      <c r="B166" s="605" t="str">
        <f>'CADASTRO V-T e ISS'!B167</f>
        <v>São Gonçalo do Amarante</v>
      </c>
      <c r="C166" s="604">
        <f>'CADASTRO V-T e ISS'!P167</f>
        <v>3</v>
      </c>
      <c r="D166" s="607">
        <f>'CADASTRO V-T e ISS'!G167</f>
        <v>0</v>
      </c>
      <c r="E166" s="613">
        <f>'CUSTO POR MUNICÍPIO'!U167</f>
        <v>24992.082920000004</v>
      </c>
      <c r="F166" s="613">
        <f>'CUSTO POR MUNICÍPIO'!V167</f>
        <v>499.84165840000009</v>
      </c>
      <c r="G166" s="613">
        <f>'CUSTO POR MUNICÍPIO'!W167</f>
        <v>25491.924578400005</v>
      </c>
    </row>
    <row r="167" spans="1:7">
      <c r="A167" s="604">
        <f>'CADASTRO V-T e ISS'!A168</f>
        <v>163</v>
      </c>
      <c r="B167" s="605" t="str">
        <f>'CADASTRO V-T e ISS'!B168</f>
        <v>São João do Jaguaribe</v>
      </c>
      <c r="C167" s="604">
        <f>'CADASTRO V-T e ISS'!P168</f>
        <v>0</v>
      </c>
      <c r="D167" s="607">
        <f>'CADASTRO V-T e ISS'!G168</f>
        <v>0</v>
      </c>
      <c r="E167" s="613">
        <f>'CUSTO POR MUNICÍPIO'!U168</f>
        <v>0</v>
      </c>
      <c r="F167" s="613">
        <f>'CUSTO POR MUNICÍPIO'!V168</f>
        <v>0</v>
      </c>
      <c r="G167" s="613">
        <f>'CUSTO POR MUNICÍPIO'!W168</f>
        <v>0</v>
      </c>
    </row>
    <row r="168" spans="1:7">
      <c r="A168" s="604">
        <f>'CADASTRO V-T e ISS'!A169</f>
        <v>164</v>
      </c>
      <c r="B168" s="605" t="str">
        <f>'CADASTRO V-T e ISS'!B169</f>
        <v>São Luís do Curu</v>
      </c>
      <c r="C168" s="604">
        <f>'CADASTRO V-T e ISS'!P169</f>
        <v>0</v>
      </c>
      <c r="D168" s="607">
        <f>'CADASTRO V-T e ISS'!G169</f>
        <v>0</v>
      </c>
      <c r="E168" s="613">
        <f>'CUSTO POR MUNICÍPIO'!U169</f>
        <v>0</v>
      </c>
      <c r="F168" s="613">
        <f>'CUSTO POR MUNICÍPIO'!V169</f>
        <v>0</v>
      </c>
      <c r="G168" s="613">
        <f>'CUSTO POR MUNICÍPIO'!W169</f>
        <v>0</v>
      </c>
    </row>
    <row r="169" spans="1:7">
      <c r="A169" s="604">
        <f>'CADASTRO V-T e ISS'!A170</f>
        <v>165</v>
      </c>
      <c r="B169" s="605" t="str">
        <f>'CADASTRO V-T e ISS'!B170</f>
        <v>Senador Pompeu</v>
      </c>
      <c r="C169" s="604">
        <f>'CADASTRO V-T e ISS'!P170</f>
        <v>3</v>
      </c>
      <c r="D169" s="607">
        <f>'CADASTRO V-T e ISS'!G170</f>
        <v>0</v>
      </c>
      <c r="E169" s="613">
        <f>'CUSTO POR MUNICÍPIO'!U170</f>
        <v>24992.082920000004</v>
      </c>
      <c r="F169" s="613">
        <f>'CUSTO POR MUNICÍPIO'!V170</f>
        <v>499.84165840000009</v>
      </c>
      <c r="G169" s="613">
        <f>'CUSTO POR MUNICÍPIO'!W170</f>
        <v>25491.924578400005</v>
      </c>
    </row>
    <row r="170" spans="1:7">
      <c r="A170" s="604">
        <f>'CADASTRO V-T e ISS'!A171</f>
        <v>166</v>
      </c>
      <c r="B170" s="605" t="str">
        <f>'CADASTRO V-T e ISS'!B171</f>
        <v>Senador Sá</v>
      </c>
      <c r="C170" s="604">
        <f>'CADASTRO V-T e ISS'!P171</f>
        <v>0</v>
      </c>
      <c r="D170" s="607">
        <f>'CADASTRO V-T e ISS'!G171</f>
        <v>0</v>
      </c>
      <c r="E170" s="613">
        <f>'CUSTO POR MUNICÍPIO'!U171</f>
        <v>0</v>
      </c>
      <c r="F170" s="613">
        <f>'CUSTO POR MUNICÍPIO'!V171</f>
        <v>0</v>
      </c>
      <c r="G170" s="613">
        <f>'CUSTO POR MUNICÍPIO'!W171</f>
        <v>0</v>
      </c>
    </row>
    <row r="171" spans="1:7">
      <c r="A171" s="604">
        <f>'CADASTRO V-T e ISS'!A172</f>
        <v>167</v>
      </c>
      <c r="B171" s="605" t="str">
        <f>'CADASTRO V-T e ISS'!B172</f>
        <v>Sobral</v>
      </c>
      <c r="C171" s="604">
        <f>'CADASTRO V-T e ISS'!P172</f>
        <v>22</v>
      </c>
      <c r="D171" s="607">
        <f>'CADASTRO V-T e ISS'!G172</f>
        <v>0</v>
      </c>
      <c r="E171" s="613">
        <f>'CUSTO POR MUNICÍPIO'!U172</f>
        <v>214098.78626181823</v>
      </c>
      <c r="F171" s="613">
        <f>'CUSTO POR MUNICÍPIO'!V172</f>
        <v>4281.9757252363643</v>
      </c>
      <c r="G171" s="613">
        <f>'CUSTO POR MUNICÍPIO'!W172</f>
        <v>218380.7619870546</v>
      </c>
    </row>
    <row r="172" spans="1:7">
      <c r="A172" s="604">
        <f>'CADASTRO V-T e ISS'!A173</f>
        <v>168</v>
      </c>
      <c r="B172" s="605" t="str">
        <f>'CADASTRO V-T e ISS'!B173</f>
        <v>Solonópole</v>
      </c>
      <c r="C172" s="604">
        <f>'CADASTRO V-T e ISS'!P173</f>
        <v>2</v>
      </c>
      <c r="D172" s="607">
        <f>'CADASTRO V-T e ISS'!G173</f>
        <v>0</v>
      </c>
      <c r="E172" s="613">
        <f>'CUSTO POR MUNICÍPIO'!U173</f>
        <v>16710.473461818183</v>
      </c>
      <c r="F172" s="613">
        <f>'CUSTO POR MUNICÍPIO'!V173</f>
        <v>334.20946923636365</v>
      </c>
      <c r="G172" s="613">
        <f>'CUSTO POR MUNICÍPIO'!W173</f>
        <v>17044.682931054547</v>
      </c>
    </row>
    <row r="173" spans="1:7">
      <c r="A173" s="604">
        <f>'CADASTRO V-T e ISS'!A174</f>
        <v>169</v>
      </c>
      <c r="B173" s="605" t="str">
        <f>'CADASTRO V-T e ISS'!B174</f>
        <v>Tabuleiro do Norte</v>
      </c>
      <c r="C173" s="604">
        <f>'CADASTRO V-T e ISS'!P174</f>
        <v>2</v>
      </c>
      <c r="D173" s="607">
        <f>'CADASTRO V-T e ISS'!G174</f>
        <v>0</v>
      </c>
      <c r="E173" s="613">
        <f>'CUSTO POR MUNICÍPIO'!U174</f>
        <v>16710.473461818183</v>
      </c>
      <c r="F173" s="613">
        <f>'CUSTO POR MUNICÍPIO'!V174</f>
        <v>334.20946923636365</v>
      </c>
      <c r="G173" s="613">
        <f>'CUSTO POR MUNICÍPIO'!W174</f>
        <v>17044.682931054547</v>
      </c>
    </row>
    <row r="174" spans="1:7">
      <c r="A174" s="604">
        <f>'CADASTRO V-T e ISS'!A175</f>
        <v>170</v>
      </c>
      <c r="B174" s="605" t="str">
        <f>'CADASTRO V-T e ISS'!B175</f>
        <v>Tamboril</v>
      </c>
      <c r="C174" s="604">
        <f>'CADASTRO V-T e ISS'!P175</f>
        <v>3</v>
      </c>
      <c r="D174" s="607">
        <f>'CADASTRO V-T e ISS'!G175</f>
        <v>0</v>
      </c>
      <c r="E174" s="613">
        <f>'CUSTO POR MUNICÍPIO'!U175</f>
        <v>25139.337465454548</v>
      </c>
      <c r="F174" s="613">
        <f>'CUSTO POR MUNICÍPIO'!V175</f>
        <v>502.78674930909096</v>
      </c>
      <c r="G174" s="613">
        <f>'CUSTO POR MUNICÍPIO'!W175</f>
        <v>25642.12421476364</v>
      </c>
    </row>
    <row r="175" spans="1:7">
      <c r="A175" s="604">
        <f>'CADASTRO V-T e ISS'!A176</f>
        <v>171</v>
      </c>
      <c r="B175" s="605" t="str">
        <f>'CADASTRO V-T e ISS'!B176</f>
        <v>Tarrafas</v>
      </c>
      <c r="C175" s="604">
        <f>'CADASTRO V-T e ISS'!P176</f>
        <v>0</v>
      </c>
      <c r="D175" s="607">
        <f>'CADASTRO V-T e ISS'!G176</f>
        <v>0</v>
      </c>
      <c r="E175" s="613">
        <f>'CUSTO POR MUNICÍPIO'!U176</f>
        <v>0</v>
      </c>
      <c r="F175" s="613">
        <f>'CUSTO POR MUNICÍPIO'!V176</f>
        <v>0</v>
      </c>
      <c r="G175" s="613">
        <f>'CUSTO POR MUNICÍPIO'!W176</f>
        <v>0</v>
      </c>
    </row>
    <row r="176" spans="1:7">
      <c r="A176" s="604">
        <f>'CADASTRO V-T e ISS'!A177</f>
        <v>172</v>
      </c>
      <c r="B176" s="605" t="str">
        <f>'CADASTRO V-T e ISS'!B177</f>
        <v>Tauá</v>
      </c>
      <c r="C176" s="604">
        <f>'CADASTRO V-T e ISS'!P177</f>
        <v>16</v>
      </c>
      <c r="D176" s="607">
        <f>'CADASTRO V-T e ISS'!G177</f>
        <v>0</v>
      </c>
      <c r="E176" s="613">
        <f>'CUSTO POR MUNICÍPIO'!U177</f>
        <v>156308.29678545459</v>
      </c>
      <c r="F176" s="613">
        <f>'CUSTO POR MUNICÍPIO'!V177</f>
        <v>3126.1659357090916</v>
      </c>
      <c r="G176" s="613">
        <f>'CUSTO POR MUNICÍPIO'!W177</f>
        <v>159434.46272116367</v>
      </c>
    </row>
    <row r="177" spans="1:7">
      <c r="A177" s="604">
        <f>'CADASTRO V-T e ISS'!A178</f>
        <v>173</v>
      </c>
      <c r="B177" s="605" t="str">
        <f>'CADASTRO V-T e ISS'!B178</f>
        <v>Tejuçuoca</v>
      </c>
      <c r="C177" s="604">
        <f>'CADASTRO V-T e ISS'!P178</f>
        <v>0</v>
      </c>
      <c r="D177" s="607">
        <f>'CADASTRO V-T e ISS'!G178</f>
        <v>0</v>
      </c>
      <c r="E177" s="613">
        <f>'CUSTO POR MUNICÍPIO'!U178</f>
        <v>0</v>
      </c>
      <c r="F177" s="613">
        <f>'CUSTO POR MUNICÍPIO'!V178</f>
        <v>0</v>
      </c>
      <c r="G177" s="613">
        <f>'CUSTO POR MUNICÍPIO'!W178</f>
        <v>0</v>
      </c>
    </row>
    <row r="178" spans="1:7">
      <c r="A178" s="604">
        <f>'CADASTRO V-T e ISS'!A179</f>
        <v>174</v>
      </c>
      <c r="B178" s="605" t="str">
        <f>'CADASTRO V-T e ISS'!B179</f>
        <v>Tianguá</v>
      </c>
      <c r="C178" s="604">
        <f>'CADASTRO V-T e ISS'!P179</f>
        <v>3</v>
      </c>
      <c r="D178" s="607">
        <f>'CADASTRO V-T e ISS'!G179</f>
        <v>0</v>
      </c>
      <c r="E178" s="613">
        <f>'CUSTO POR MUNICÍPIO'!U179</f>
        <v>24992.082920000004</v>
      </c>
      <c r="F178" s="613">
        <f>'CUSTO POR MUNICÍPIO'!V179</f>
        <v>499.84165840000009</v>
      </c>
      <c r="G178" s="613">
        <f>'CUSTO POR MUNICÍPIO'!W179</f>
        <v>25491.924578400005</v>
      </c>
    </row>
    <row r="179" spans="1:7">
      <c r="A179" s="604">
        <f>'CADASTRO V-T e ISS'!A180</f>
        <v>175</v>
      </c>
      <c r="B179" s="605" t="str">
        <f>'CADASTRO V-T e ISS'!B180</f>
        <v>Trairi</v>
      </c>
      <c r="C179" s="604">
        <f>'CADASTRO V-T e ISS'!P180</f>
        <v>3</v>
      </c>
      <c r="D179" s="607">
        <f>'CADASTRO V-T e ISS'!G180</f>
        <v>0</v>
      </c>
      <c r="E179" s="613">
        <f>'CUSTO POR MUNICÍPIO'!U180</f>
        <v>24992.082920000004</v>
      </c>
      <c r="F179" s="613">
        <f>'CUSTO POR MUNICÍPIO'!V180</f>
        <v>499.84165840000009</v>
      </c>
      <c r="G179" s="613">
        <f>'CUSTO POR MUNICÍPIO'!W180</f>
        <v>25491.924578400005</v>
      </c>
    </row>
    <row r="180" spans="1:7">
      <c r="A180" s="604">
        <f>'CADASTRO V-T e ISS'!A181</f>
        <v>176</v>
      </c>
      <c r="B180" s="605" t="str">
        <f>'CADASTRO V-T e ISS'!B181</f>
        <v>Tururu</v>
      </c>
      <c r="C180" s="604">
        <f>'CADASTRO V-T e ISS'!P181</f>
        <v>0</v>
      </c>
      <c r="D180" s="607">
        <f>'CADASTRO V-T e ISS'!G181</f>
        <v>0</v>
      </c>
      <c r="E180" s="613">
        <f>'CUSTO POR MUNICÍPIO'!U181</f>
        <v>0</v>
      </c>
      <c r="F180" s="613">
        <f>'CUSTO POR MUNICÍPIO'!V181</f>
        <v>0</v>
      </c>
      <c r="G180" s="613">
        <f>'CUSTO POR MUNICÍPIO'!W181</f>
        <v>0</v>
      </c>
    </row>
    <row r="181" spans="1:7">
      <c r="A181" s="604">
        <f>'CADASTRO V-T e ISS'!A182</f>
        <v>177</v>
      </c>
      <c r="B181" s="605" t="str">
        <f>'CADASTRO V-T e ISS'!B182</f>
        <v>Ubajara</v>
      </c>
      <c r="C181" s="604">
        <f>'CADASTRO V-T e ISS'!P182</f>
        <v>3</v>
      </c>
      <c r="D181" s="607">
        <f>'CADASTRO V-T e ISS'!G182</f>
        <v>0</v>
      </c>
      <c r="E181" s="613">
        <f>'CUSTO POR MUNICÍPIO'!U182</f>
        <v>24992.082920000004</v>
      </c>
      <c r="F181" s="613">
        <f>'CUSTO POR MUNICÍPIO'!V182</f>
        <v>499.84165840000009</v>
      </c>
      <c r="G181" s="613">
        <f>'CUSTO POR MUNICÍPIO'!W182</f>
        <v>25491.924578400005</v>
      </c>
    </row>
    <row r="182" spans="1:7">
      <c r="A182" s="604">
        <f>'CADASTRO V-T e ISS'!A183</f>
        <v>178</v>
      </c>
      <c r="B182" s="605" t="str">
        <f>'CADASTRO V-T e ISS'!B183</f>
        <v>Umari</v>
      </c>
      <c r="C182" s="604">
        <f>'CADASTRO V-T e ISS'!P183</f>
        <v>0</v>
      </c>
      <c r="D182" s="607">
        <f>'CADASTRO V-T e ISS'!G183</f>
        <v>0</v>
      </c>
      <c r="E182" s="613">
        <f>'CUSTO POR MUNICÍPIO'!U183</f>
        <v>0</v>
      </c>
      <c r="F182" s="613">
        <f>'CUSTO POR MUNICÍPIO'!V183</f>
        <v>0</v>
      </c>
      <c r="G182" s="613">
        <f>'CUSTO POR MUNICÍPIO'!W183</f>
        <v>0</v>
      </c>
    </row>
    <row r="183" spans="1:7">
      <c r="A183" s="604">
        <f>'CADASTRO V-T e ISS'!A184</f>
        <v>179</v>
      </c>
      <c r="B183" s="605" t="str">
        <f>'CADASTRO V-T e ISS'!B184</f>
        <v>Umirim</v>
      </c>
      <c r="C183" s="604">
        <f>'CADASTRO V-T e ISS'!P184</f>
        <v>2</v>
      </c>
      <c r="D183" s="607">
        <f>'CADASTRO V-T e ISS'!G184</f>
        <v>0</v>
      </c>
      <c r="E183" s="613">
        <f>'CUSTO POR MUNICÍPIO'!U184</f>
        <v>16710.473461818183</v>
      </c>
      <c r="F183" s="613">
        <f>'CUSTO POR MUNICÍPIO'!V184</f>
        <v>334.20946923636365</v>
      </c>
      <c r="G183" s="613">
        <f>'CUSTO POR MUNICÍPIO'!W184</f>
        <v>17044.682931054547</v>
      </c>
    </row>
    <row r="184" spans="1:7">
      <c r="A184" s="604">
        <f>'CADASTRO V-T e ISS'!A185</f>
        <v>180</v>
      </c>
      <c r="B184" s="605" t="str">
        <f>'CADASTRO V-T e ISS'!B185</f>
        <v>Uruburetama</v>
      </c>
      <c r="C184" s="604">
        <f>'CADASTRO V-T e ISS'!P185</f>
        <v>3</v>
      </c>
      <c r="D184" s="607">
        <f>'CADASTRO V-T e ISS'!G185</f>
        <v>0</v>
      </c>
      <c r="E184" s="613">
        <f>'CUSTO POR MUNICÍPIO'!U185</f>
        <v>24992.082920000004</v>
      </c>
      <c r="F184" s="613">
        <f>'CUSTO POR MUNICÍPIO'!V185</f>
        <v>499.84165840000009</v>
      </c>
      <c r="G184" s="613">
        <f>'CUSTO POR MUNICÍPIO'!W185</f>
        <v>25491.924578400005</v>
      </c>
    </row>
    <row r="185" spans="1:7">
      <c r="A185" s="604">
        <f>'CADASTRO V-T e ISS'!A186</f>
        <v>181</v>
      </c>
      <c r="B185" s="605" t="str">
        <f>'CADASTRO V-T e ISS'!B186</f>
        <v>Uruoca</v>
      </c>
      <c r="C185" s="604">
        <f>'CADASTRO V-T e ISS'!P186</f>
        <v>2</v>
      </c>
      <c r="D185" s="607">
        <f>'CADASTRO V-T e ISS'!G186</f>
        <v>0</v>
      </c>
      <c r="E185" s="613">
        <f>'CUSTO POR MUNICÍPIO'!U186</f>
        <v>16710.473461818183</v>
      </c>
      <c r="F185" s="613">
        <f>'CUSTO POR MUNICÍPIO'!V186</f>
        <v>334.20946923636365</v>
      </c>
      <c r="G185" s="613">
        <f>'CUSTO POR MUNICÍPIO'!W186</f>
        <v>17044.682931054547</v>
      </c>
    </row>
    <row r="186" spans="1:7">
      <c r="A186" s="604">
        <f>'CADASTRO V-T e ISS'!A187</f>
        <v>182</v>
      </c>
      <c r="B186" s="605" t="str">
        <f>'CADASTRO V-T e ISS'!B187</f>
        <v>Varjota</v>
      </c>
      <c r="C186" s="604">
        <f>'CADASTRO V-T e ISS'!P187</f>
        <v>0</v>
      </c>
      <c r="D186" s="607">
        <f>'CADASTRO V-T e ISS'!G187</f>
        <v>0</v>
      </c>
      <c r="E186" s="613">
        <f>'CUSTO POR MUNICÍPIO'!U187</f>
        <v>0</v>
      </c>
      <c r="F186" s="613">
        <f>'CUSTO POR MUNICÍPIO'!V187</f>
        <v>0</v>
      </c>
      <c r="G186" s="613">
        <f>'CUSTO POR MUNICÍPIO'!W187</f>
        <v>0</v>
      </c>
    </row>
    <row r="187" spans="1:7">
      <c r="A187" s="604">
        <f>'CADASTRO V-T e ISS'!A188</f>
        <v>183</v>
      </c>
      <c r="B187" s="605" t="str">
        <f>'CADASTRO V-T e ISS'!B188</f>
        <v>Várzea Alegre</v>
      </c>
      <c r="C187" s="604">
        <f>'CADASTRO V-T e ISS'!P188</f>
        <v>3</v>
      </c>
      <c r="D187" s="607">
        <f>'CADASTRO V-T e ISS'!G188</f>
        <v>0</v>
      </c>
      <c r="E187" s="613">
        <f>'CUSTO POR MUNICÍPIO'!U188</f>
        <v>24992.082920000004</v>
      </c>
      <c r="F187" s="613">
        <f>'CUSTO POR MUNICÍPIO'!V188</f>
        <v>499.84165840000009</v>
      </c>
      <c r="G187" s="613">
        <f>'CUSTO POR MUNICÍPIO'!W188</f>
        <v>25491.924578400005</v>
      </c>
    </row>
    <row r="188" spans="1:7">
      <c r="A188" s="604">
        <f>'CADASTRO V-T e ISS'!A189</f>
        <v>184</v>
      </c>
      <c r="B188" s="605" t="str">
        <f>'CADASTRO V-T e ISS'!B189</f>
        <v>Viçosa do Ceará</v>
      </c>
      <c r="C188" s="604">
        <f>'CADASTRO V-T e ISS'!P189</f>
        <v>3</v>
      </c>
      <c r="D188" s="607">
        <f>'CADASTRO V-T e ISS'!G189</f>
        <v>0</v>
      </c>
      <c r="E188" s="613">
        <f>'CUSTO POR MUNICÍPIO'!U189</f>
        <v>24992.082920000004</v>
      </c>
      <c r="F188" s="613">
        <f>'CUSTO POR MUNICÍPIO'!V189</f>
        <v>499.84165840000009</v>
      </c>
      <c r="G188" s="613">
        <f>'CUSTO POR MUNICÍPIO'!W189</f>
        <v>25491.924578400005</v>
      </c>
    </row>
    <row r="189" spans="1:7">
      <c r="A189" s="609"/>
      <c r="B189" s="610" t="s">
        <v>763</v>
      </c>
      <c r="C189" s="599">
        <f>SUM(C5:C188)</f>
        <v>824</v>
      </c>
      <c r="D189" s="609"/>
      <c r="E189" s="611">
        <f>SUM(E5:E188)</f>
        <v>7578527.2189963562</v>
      </c>
      <c r="F189" s="611">
        <f>SUM(F5:F188)</f>
        <v>151570.54437992716</v>
      </c>
      <c r="G189" s="611">
        <f>SUM(G5:G188)</f>
        <v>7730097.7633762956</v>
      </c>
    </row>
    <row r="191" spans="1:7">
      <c r="B191" s="733" t="s">
        <v>785</v>
      </c>
      <c r="C191" s="733"/>
      <c r="D191" s="733"/>
      <c r="E191" s="733"/>
      <c r="F191" s="733"/>
      <c r="G191" s="733"/>
    </row>
    <row r="192" spans="1:7">
      <c r="B192" s="651" t="s">
        <v>786</v>
      </c>
      <c r="C192" s="651"/>
      <c r="D192" s="651"/>
      <c r="E192" s="651"/>
      <c r="F192" s="651"/>
      <c r="G192" s="614">
        <f>E189</f>
        <v>7578527.2189963562</v>
      </c>
    </row>
    <row r="193" spans="2:7">
      <c r="B193" s="651" t="s">
        <v>787</v>
      </c>
      <c r="C193" s="651"/>
      <c r="D193" s="651"/>
      <c r="E193" s="651"/>
      <c r="F193" s="651"/>
      <c r="G193" s="614">
        <f>F189</f>
        <v>151570.54437992716</v>
      </c>
    </row>
    <row r="194" spans="2:7">
      <c r="B194" s="651" t="s">
        <v>788</v>
      </c>
      <c r="C194" s="651"/>
      <c r="D194" s="651"/>
      <c r="E194" s="651"/>
      <c r="F194" s="651"/>
      <c r="G194" s="614">
        <f>G189</f>
        <v>7730097.7633762956</v>
      </c>
    </row>
    <row r="195" spans="2:7">
      <c r="B195" s="651" t="s">
        <v>789</v>
      </c>
      <c r="C195" s="651"/>
      <c r="D195" s="651"/>
      <c r="E195" s="651"/>
      <c r="F195" s="651"/>
      <c r="G195" s="614">
        <f>G189*24</f>
        <v>185522346.32103109</v>
      </c>
    </row>
    <row r="196" spans="2:7">
      <c r="B196" s="651" t="s">
        <v>790</v>
      </c>
      <c r="C196" s="651"/>
      <c r="D196" s="651"/>
      <c r="E196" s="651"/>
      <c r="F196" s="651"/>
      <c r="G196" s="615">
        <f>C189</f>
        <v>824</v>
      </c>
    </row>
    <row r="197" spans="2:7">
      <c r="B197" s="651" t="s">
        <v>791</v>
      </c>
      <c r="C197" s="651"/>
      <c r="D197" s="651"/>
      <c r="E197" s="651"/>
      <c r="F197" s="651"/>
      <c r="G197" s="615">
        <f>COUNTIF(C5:C188,"&gt;0")</f>
        <v>106</v>
      </c>
    </row>
    <row r="198" spans="2:7">
      <c r="B198" s="651" t="s">
        <v>792</v>
      </c>
      <c r="C198" s="651"/>
      <c r="D198" s="651"/>
      <c r="E198" s="651"/>
      <c r="F198" s="651"/>
      <c r="G198" s="615">
        <v>184</v>
      </c>
    </row>
  </sheetData>
  <sheetProtection sheet="1" objects="1" scenarios="1"/>
  <mergeCells count="10">
    <mergeCell ref="B194:F194"/>
    <mergeCell ref="B195:F195"/>
    <mergeCell ref="B196:F196"/>
    <mergeCell ref="B197:F197"/>
    <mergeCell ref="B198:F198"/>
    <mergeCell ref="A1:G1"/>
    <mergeCell ref="A2:G2"/>
    <mergeCell ref="B191:G191"/>
    <mergeCell ref="B192:F192"/>
    <mergeCell ref="B193:F193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P21"/>
  <sheetViews>
    <sheetView zoomScaleNormal="100" workbookViewId="0">
      <selection activeCell="M21" sqref="M21"/>
    </sheetView>
  </sheetViews>
  <sheetFormatPr defaultColWidth="9" defaultRowHeight="15.75"/>
  <cols>
    <col min="1" max="1" width="5.140625" style="473" customWidth="1"/>
    <col min="2" max="2" width="68.42578125" style="473" customWidth="1"/>
    <col min="3" max="3" width="9.140625" style="473" customWidth="1"/>
    <col min="4" max="4" width="8.42578125" style="473" customWidth="1"/>
    <col min="5" max="5" width="11" style="473" customWidth="1"/>
    <col min="6" max="10" width="18.28515625" style="473" customWidth="1"/>
    <col min="11" max="11" width="28.5703125" style="473" customWidth="1"/>
    <col min="12" max="12" width="18.28515625" style="473" customWidth="1"/>
    <col min="13" max="13" width="19.85546875" style="473" customWidth="1"/>
    <col min="14" max="14" width="20.28515625" style="473" customWidth="1"/>
    <col min="15" max="15" width="9" style="473"/>
    <col min="16" max="16" width="15.140625" style="473" hidden="1" customWidth="1"/>
    <col min="17" max="16384" width="9" style="473"/>
  </cols>
  <sheetData>
    <row r="1" spans="1:16" ht="59.25" customHeight="1"/>
    <row r="2" spans="1:16">
      <c r="A2" s="474" t="s">
        <v>3</v>
      </c>
      <c r="B2" s="474"/>
      <c r="C2" s="474"/>
      <c r="D2" s="474"/>
      <c r="E2" s="474"/>
      <c r="F2" s="474"/>
      <c r="G2" s="652" t="s">
        <v>4</v>
      </c>
      <c r="H2" s="652"/>
      <c r="I2" s="652"/>
      <c r="J2" s="652"/>
      <c r="K2" s="652"/>
      <c r="L2" s="474"/>
      <c r="M2" s="474"/>
      <c r="N2" s="474"/>
    </row>
    <row r="3" spans="1:16">
      <c r="A3" s="474" t="s">
        <v>5</v>
      </c>
      <c r="B3" s="474"/>
      <c r="C3" s="474"/>
      <c r="D3" s="474"/>
      <c r="E3" s="474"/>
      <c r="F3" s="474"/>
      <c r="G3" s="652"/>
      <c r="H3" s="652"/>
      <c r="I3" s="652"/>
      <c r="J3" s="652"/>
      <c r="K3" s="652"/>
      <c r="L3" s="474"/>
      <c r="M3" s="474"/>
      <c r="N3" s="474"/>
    </row>
    <row r="4" spans="1:16">
      <c r="A4" s="474" t="s">
        <v>6</v>
      </c>
    </row>
    <row r="5" spans="1:16">
      <c r="B5" s="475"/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</row>
    <row r="6" spans="1:16">
      <c r="B6" s="476"/>
      <c r="G6" s="475"/>
      <c r="H6" s="477"/>
      <c r="I6" s="477"/>
      <c r="J6" s="477"/>
    </row>
    <row r="7" spans="1:16" s="480" customFormat="1">
      <c r="A7" s="473"/>
      <c r="B7" s="476"/>
      <c r="C7" s="473"/>
      <c r="D7" s="473"/>
      <c r="E7" s="473"/>
      <c r="F7" s="473"/>
      <c r="G7" s="473"/>
      <c r="H7" s="473"/>
      <c r="I7" s="473"/>
      <c r="J7" s="473"/>
      <c r="K7" s="473"/>
      <c r="L7" s="478" t="s">
        <v>7</v>
      </c>
      <c r="M7" s="479">
        <v>22</v>
      </c>
      <c r="O7" s="473"/>
      <c r="P7" s="473"/>
    </row>
    <row r="8" spans="1:16" ht="43.5" customHeight="1">
      <c r="A8" s="481" t="s">
        <v>8</v>
      </c>
      <c r="B8" s="481" t="s">
        <v>9</v>
      </c>
      <c r="C8" s="481" t="s">
        <v>10</v>
      </c>
      <c r="D8" s="481" t="s">
        <v>11</v>
      </c>
      <c r="E8" s="481" t="s">
        <v>12</v>
      </c>
      <c r="F8" s="481" t="s">
        <v>13</v>
      </c>
      <c r="G8" s="481" t="s">
        <v>14</v>
      </c>
      <c r="H8" s="481" t="s">
        <v>15</v>
      </c>
      <c r="I8" s="482" t="s">
        <v>16</v>
      </c>
      <c r="J8" s="481" t="s">
        <v>17</v>
      </c>
      <c r="K8" s="481" t="s">
        <v>18</v>
      </c>
      <c r="L8" s="483" t="s">
        <v>19</v>
      </c>
      <c r="M8" s="483" t="s">
        <v>20</v>
      </c>
      <c r="O8" s="480"/>
      <c r="P8" s="480"/>
    </row>
    <row r="9" spans="1:16">
      <c r="A9" s="484" t="s">
        <v>21</v>
      </c>
      <c r="B9" s="485" t="str">
        <f>'VALOR POSTOS MÊS '!E21</f>
        <v>OPERADOR DE RECEPÇÃO E TRIAGEM</v>
      </c>
      <c r="C9" s="486">
        <f t="array" ref="C9:C16">TRANSPOSE('VALOR POSTOS MÊS '!E27:L27)</f>
        <v>221</v>
      </c>
      <c r="D9" s="487">
        <f t="array" ref="D9:D16">TRANSPOSE('VALOR POSTOS MÊS '!E25:L25)</f>
        <v>200</v>
      </c>
      <c r="E9" s="487" t="str">
        <f t="array" ref="E9:E16">TRANSPOSE('VALOR POSTOS MÊS '!E23:L23)</f>
        <v>4221-05</v>
      </c>
      <c r="F9" s="488">
        <f t="array" ref="F9:F16">TRANSPOSE('VALOR POSTOS MÊS '!E24:L24)</f>
        <v>2471.62</v>
      </c>
      <c r="G9" s="488">
        <f t="array" ref="G9:G16">TRANSPOSE('VALOR POSTOS MÊS '!E164:L164)</f>
        <v>2880.36886</v>
      </c>
      <c r="H9" s="488">
        <f t="array" ref="H9:H16">TRANSPOSE('VALOR POSTOS MÊS '!E165:L165)</f>
        <v>224.45999999999998</v>
      </c>
      <c r="I9" s="488">
        <f t="array" ref="I9:I16">TRANSPOSE('VALOR POSTOS MÊS '!E166:L166)</f>
        <v>283.95000000000005</v>
      </c>
      <c r="J9" s="488">
        <f t="array" ref="J9:J16">TRANSPOSE('VALOR POSTOS MÊS '!E167:L167)</f>
        <v>203.18</v>
      </c>
      <c r="K9" s="488">
        <f t="array" ref="K9:K16">TRANSPOSE('VALOR POSTOS MÊS '!E169:L169)</f>
        <v>2328.6457269387756</v>
      </c>
      <c r="L9" s="489">
        <f t="array" ref="L9:L16">TRANSPOSE('VALOR POSTOS MÊS '!E171:L171)</f>
        <v>9040.6245869387749</v>
      </c>
      <c r="M9" s="490">
        <f t="shared" ref="M9:M16" si="0">ROUND(L9*C9,2)</f>
        <v>1997978.03</v>
      </c>
    </row>
    <row r="10" spans="1:16" ht="20.25" customHeight="1">
      <c r="A10" s="484" t="s">
        <v>22</v>
      </c>
      <c r="B10" s="485" t="str">
        <f>'VALOR POSTOS MÊS '!F21</f>
        <v>OPERADOR DE ATENDIMENTO</v>
      </c>
      <c r="C10" s="486">
        <v>362</v>
      </c>
      <c r="D10" s="487">
        <v>200</v>
      </c>
      <c r="E10" s="491">
        <v>42</v>
      </c>
      <c r="F10" s="488">
        <v>3055.52</v>
      </c>
      <c r="G10" s="488">
        <v>2804.4588600000002</v>
      </c>
      <c r="H10" s="488">
        <v>219.8</v>
      </c>
      <c r="I10" s="488">
        <v>278.28999999999996</v>
      </c>
      <c r="J10" s="488">
        <v>203.18</v>
      </c>
      <c r="K10" s="488">
        <v>2276.3516453061229</v>
      </c>
      <c r="L10" s="489">
        <v>8837.6005053061235</v>
      </c>
      <c r="M10" s="490">
        <f t="shared" si="0"/>
        <v>3199211.38</v>
      </c>
    </row>
    <row r="11" spans="1:16" ht="20.25" customHeight="1">
      <c r="A11" s="484" t="s">
        <v>23</v>
      </c>
      <c r="B11" s="492" t="str">
        <f>'VALOR POSTOS MÊS '!G21</f>
        <v>OPERADOR DE ATENDIMENTO ESPECIALIZADO</v>
      </c>
      <c r="C11" s="486">
        <v>133</v>
      </c>
      <c r="D11" s="487">
        <v>200</v>
      </c>
      <c r="E11" s="491">
        <v>42</v>
      </c>
      <c r="F11" s="488">
        <v>3925.52</v>
      </c>
      <c r="G11" s="488">
        <v>3303.7988599999999</v>
      </c>
      <c r="H11" s="488">
        <v>282.39999999999998</v>
      </c>
      <c r="I11" s="488">
        <v>354.54</v>
      </c>
      <c r="J11" s="488">
        <v>203.18</v>
      </c>
      <c r="K11" s="488">
        <v>2799.6012371428574</v>
      </c>
      <c r="L11" s="489">
        <v>10869.040097142857</v>
      </c>
      <c r="M11" s="490">
        <f t="shared" si="0"/>
        <v>1445582.33</v>
      </c>
    </row>
    <row r="12" spans="1:16" ht="20.25" customHeight="1">
      <c r="A12" s="484" t="s">
        <v>24</v>
      </c>
      <c r="B12" s="492" t="str">
        <f>'VALOR POSTOS MÊS '!H21</f>
        <v>SUPERVISOR DE ATENDIMENTO</v>
      </c>
      <c r="C12" s="486">
        <v>52</v>
      </c>
      <c r="D12" s="487">
        <v>200</v>
      </c>
      <c r="E12" s="487" t="str">
        <v>4101-25</v>
      </c>
      <c r="F12" s="488">
        <v>4765.41</v>
      </c>
      <c r="G12" s="488">
        <v>3834.1488600000002</v>
      </c>
      <c r="H12" s="488">
        <v>342.82</v>
      </c>
      <c r="I12" s="488">
        <v>428.19000000000005</v>
      </c>
      <c r="J12" s="488">
        <v>203.18</v>
      </c>
      <c r="K12" s="488">
        <v>3321.504706530613</v>
      </c>
      <c r="L12" s="489">
        <v>12895.253566530615</v>
      </c>
      <c r="M12" s="490">
        <f t="shared" si="0"/>
        <v>670553.18999999994</v>
      </c>
    </row>
    <row r="13" spans="1:16" ht="20.25" customHeight="1">
      <c r="A13" s="484" t="s">
        <v>25</v>
      </c>
      <c r="B13" s="492" t="str">
        <f>'VALOR POSTOS MÊS '!I21</f>
        <v>COORDENADOR DE ATENDIMENTO</v>
      </c>
      <c r="C13" s="486">
        <v>16</v>
      </c>
      <c r="D13" s="487">
        <v>200</v>
      </c>
      <c r="E13" s="493" t="str">
        <v>4101-25</v>
      </c>
      <c r="F13" s="488">
        <v>6357.99</v>
      </c>
      <c r="G13" s="488">
        <v>4843.7688600000001</v>
      </c>
      <c r="H13" s="488">
        <v>457.38</v>
      </c>
      <c r="I13" s="488">
        <v>567.77</v>
      </c>
      <c r="J13" s="488">
        <v>203.18</v>
      </c>
      <c r="K13" s="488">
        <v>4312.4798085714292</v>
      </c>
      <c r="L13" s="489">
        <v>16742.568668571428</v>
      </c>
      <c r="M13" s="490">
        <f t="shared" si="0"/>
        <v>267881.09999999998</v>
      </c>
    </row>
    <row r="14" spans="1:16" ht="20.25" customHeight="1">
      <c r="A14" s="484" t="s">
        <v>26</v>
      </c>
      <c r="B14" s="492" t="str">
        <f>'VALOR POSTOS MÊS '!J21</f>
        <v>ASSISTENTE DE GESTÃO DO ATENDENDIMENTO</v>
      </c>
      <c r="C14" s="486">
        <v>5</v>
      </c>
      <c r="D14" s="487">
        <v>200</v>
      </c>
      <c r="E14" s="487" t="str">
        <v>4110-10</v>
      </c>
      <c r="F14" s="488">
        <v>8173.41</v>
      </c>
      <c r="G14" s="488">
        <v>5994.6288599999998</v>
      </c>
      <c r="H14" s="488">
        <v>587.99</v>
      </c>
      <c r="I14" s="488">
        <v>726.89</v>
      </c>
      <c r="J14" s="488">
        <v>203.18</v>
      </c>
      <c r="K14" s="488">
        <v>5442.1159310204093</v>
      </c>
      <c r="L14" s="489">
        <v>21128.214791020408</v>
      </c>
      <c r="M14" s="490">
        <f t="shared" si="0"/>
        <v>105641.07</v>
      </c>
    </row>
    <row r="15" spans="1:16" ht="20.25" customHeight="1">
      <c r="A15" s="484" t="s">
        <v>27</v>
      </c>
      <c r="B15" s="492" t="str">
        <f>'VALOR POSTOS MÊS '!K21</f>
        <v>APOIO À GESTÃO DO ATENDIMENTO</v>
      </c>
      <c r="C15" s="486">
        <v>21</v>
      </c>
      <c r="D15" s="487">
        <v>200</v>
      </c>
      <c r="E15" s="487" t="str">
        <v>4110-10</v>
      </c>
      <c r="F15" s="488">
        <v>4051.77</v>
      </c>
      <c r="G15" s="488">
        <v>3381.7388599999999</v>
      </c>
      <c r="H15" s="488">
        <v>291.46000000000004</v>
      </c>
      <c r="I15" s="488">
        <v>365.62000000000006</v>
      </c>
      <c r="J15" s="494">
        <v>203.18</v>
      </c>
      <c r="K15" s="494">
        <v>2877.4300126530616</v>
      </c>
      <c r="L15" s="489">
        <v>11171.198872653062</v>
      </c>
      <c r="M15" s="490">
        <f t="shared" si="0"/>
        <v>234595.18</v>
      </c>
    </row>
    <row r="16" spans="1:16" s="495" customFormat="1" ht="20.25" customHeight="1">
      <c r="A16" s="484" t="s">
        <v>28</v>
      </c>
      <c r="B16" s="492" t="str">
        <f>'VALOR POSTOS MÊS '!L21</f>
        <v>INTÉRPRETE DE LIBRAS</v>
      </c>
      <c r="C16" s="486">
        <v>14</v>
      </c>
      <c r="D16" s="487">
        <v>180</v>
      </c>
      <c r="E16" s="487" t="str">
        <v>2614-25</v>
      </c>
      <c r="F16" s="488">
        <v>3285.07</v>
      </c>
      <c r="G16" s="488">
        <v>3347.2588600000004</v>
      </c>
      <c r="H16" s="488">
        <v>282.97000000000003</v>
      </c>
      <c r="I16" s="488">
        <v>355.24</v>
      </c>
      <c r="J16" s="494">
        <v>203.18</v>
      </c>
      <c r="K16" s="494">
        <v>2817.8779718367355</v>
      </c>
      <c r="L16" s="489">
        <v>10939.996831836737</v>
      </c>
      <c r="M16" s="490">
        <f t="shared" si="0"/>
        <v>153159.96</v>
      </c>
      <c r="O16" s="473"/>
      <c r="P16" s="473"/>
    </row>
    <row r="17" spans="1:16">
      <c r="A17" s="496"/>
      <c r="B17" s="497" t="s">
        <v>29</v>
      </c>
      <c r="C17" s="498">
        <f>SUM(C9:C16)</f>
        <v>824</v>
      </c>
      <c r="D17" s="496"/>
      <c r="E17" s="496"/>
      <c r="F17" s="496"/>
      <c r="G17" s="496"/>
      <c r="H17" s="496"/>
      <c r="I17" s="496"/>
      <c r="J17" s="653" t="s">
        <v>30</v>
      </c>
      <c r="K17" s="653"/>
      <c r="L17" s="653"/>
      <c r="M17" s="499">
        <f>ROUND(SUM(M9:M16),2)</f>
        <v>8074602.2400000002</v>
      </c>
      <c r="O17" s="495"/>
      <c r="P17" s="500">
        <f>M17*0.8</f>
        <v>6459681.7920000004</v>
      </c>
    </row>
    <row r="18" spans="1:16">
      <c r="I18" s="496"/>
      <c r="J18" s="654" t="s">
        <v>31</v>
      </c>
      <c r="K18" s="654"/>
      <c r="L18" s="654"/>
      <c r="M18" s="501">
        <f>ROUND(M17*0.02,2)</f>
        <v>161492.04</v>
      </c>
      <c r="P18" s="502">
        <f>P17*0.02</f>
        <v>129193.63584000002</v>
      </c>
    </row>
    <row r="19" spans="1:16">
      <c r="J19" s="653" t="s">
        <v>32</v>
      </c>
      <c r="K19" s="653"/>
      <c r="L19" s="653"/>
      <c r="M19" s="499">
        <f>M18+M17</f>
        <v>8236094.2800000003</v>
      </c>
    </row>
    <row r="20" spans="1:16">
      <c r="J20" s="653" t="s">
        <v>33</v>
      </c>
      <c r="K20" s="653"/>
      <c r="L20" s="653"/>
      <c r="M20" s="503">
        <f>ROUND(M19*24,2)</f>
        <v>197666262.72</v>
      </c>
    </row>
    <row r="21" spans="1:16">
      <c r="J21" s="496"/>
    </row>
  </sheetData>
  <mergeCells count="5">
    <mergeCell ref="G2:K3"/>
    <mergeCell ref="J17:L17"/>
    <mergeCell ref="J18:L18"/>
    <mergeCell ref="J19:L19"/>
    <mergeCell ref="J20:L20"/>
  </mergeCells>
  <printOptions horizontalCentered="1"/>
  <pageMargins left="0.39374999999999999" right="0.39374999999999999" top="0.39374999999999999" bottom="0.39374999999999999" header="0.511811023622047" footer="0.511811023622047"/>
  <pageSetup paperSize="9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R127"/>
  <sheetViews>
    <sheetView topLeftCell="A39" zoomScaleNormal="100" workbookViewId="0">
      <selection activeCell="D47" sqref="D47"/>
    </sheetView>
  </sheetViews>
  <sheetFormatPr defaultColWidth="8.7109375" defaultRowHeight="15"/>
  <cols>
    <col min="1" max="1" width="3.7109375" customWidth="1"/>
    <col min="2" max="2" width="7.7109375" customWidth="1"/>
    <col min="3" max="3" width="57.85546875" customWidth="1"/>
    <col min="4" max="4" width="60.140625" customWidth="1"/>
    <col min="5" max="5" width="70.5703125" customWidth="1"/>
    <col min="6" max="6" width="103.140625" style="1" customWidth="1"/>
    <col min="8" max="12" width="14.7109375" customWidth="1"/>
    <col min="13" max="13" width="19.42578125" customWidth="1"/>
    <col min="14" max="14" width="18.140625" customWidth="1"/>
    <col min="15" max="15" width="19.7109375" customWidth="1"/>
    <col min="16" max="16" width="15" customWidth="1"/>
  </cols>
  <sheetData>
    <row r="1" spans="1:16" s="9" customFormat="1" ht="15" customHeight="1">
      <c r="A1" s="2"/>
      <c r="B1" s="3"/>
      <c r="C1" s="4" t="s">
        <v>34</v>
      </c>
      <c r="D1" s="5"/>
      <c r="E1" s="6"/>
      <c r="F1" s="7"/>
      <c r="G1"/>
      <c r="H1" s="8"/>
      <c r="I1" s="8"/>
      <c r="J1" s="8"/>
      <c r="K1" s="8"/>
      <c r="L1" s="8"/>
      <c r="M1" s="8"/>
      <c r="N1" s="8"/>
      <c r="O1" s="8"/>
      <c r="P1" s="8"/>
    </row>
    <row r="2" spans="1:16" s="9" customFormat="1" ht="15" customHeight="1">
      <c r="A2" s="2"/>
      <c r="B2" s="10" t="s">
        <v>35</v>
      </c>
      <c r="C2" s="11" t="s">
        <v>36</v>
      </c>
      <c r="D2" s="12">
        <v>7</v>
      </c>
      <c r="E2" s="13"/>
      <c r="F2" s="14"/>
      <c r="G2"/>
      <c r="H2" s="8"/>
      <c r="I2" s="8"/>
      <c r="J2" s="8"/>
      <c r="K2" s="8"/>
      <c r="L2" s="8"/>
      <c r="M2" s="8"/>
      <c r="N2" s="8"/>
      <c r="O2" s="8"/>
      <c r="P2" s="8"/>
    </row>
    <row r="3" spans="1:16" s="9" customFormat="1" ht="15" customHeight="1">
      <c r="B3" s="10" t="s">
        <v>37</v>
      </c>
      <c r="C3" s="11" t="s">
        <v>38</v>
      </c>
      <c r="D3" s="12">
        <v>365</v>
      </c>
      <c r="E3" s="655"/>
      <c r="F3" s="655"/>
      <c r="G3"/>
      <c r="H3" s="8"/>
      <c r="I3" s="8"/>
      <c r="J3" s="8"/>
      <c r="K3" s="8"/>
      <c r="L3" s="8"/>
      <c r="M3" s="8"/>
      <c r="N3" s="8"/>
      <c r="O3" s="8"/>
      <c r="P3" s="8"/>
    </row>
    <row r="4" spans="1:16" s="9" customFormat="1" ht="15" customHeight="1">
      <c r="B4" s="10" t="s">
        <v>39</v>
      </c>
      <c r="C4" s="11" t="s">
        <v>40</v>
      </c>
      <c r="D4" s="12">
        <v>30</v>
      </c>
      <c r="E4" s="15"/>
      <c r="F4" s="14"/>
      <c r="G4"/>
      <c r="H4" s="8"/>
      <c r="I4" s="8"/>
      <c r="J4" s="8"/>
      <c r="K4" s="8"/>
      <c r="L4" s="8"/>
      <c r="M4" s="8"/>
      <c r="N4" s="8"/>
      <c r="O4" s="8"/>
      <c r="P4" s="8"/>
    </row>
    <row r="5" spans="1:16" s="9" customFormat="1" ht="15" customHeight="1">
      <c r="B5" s="10" t="s">
        <v>41</v>
      </c>
      <c r="C5" s="11" t="s">
        <v>42</v>
      </c>
      <c r="D5" s="16">
        <f>D6/D7</f>
        <v>4.3452380952380958</v>
      </c>
      <c r="E5" s="655" t="s">
        <v>43</v>
      </c>
      <c r="F5" s="655"/>
      <c r="G5"/>
      <c r="H5" s="8"/>
      <c r="I5" s="8"/>
      <c r="J5" s="8"/>
      <c r="K5" s="8"/>
      <c r="L5" s="8"/>
      <c r="M5" s="8"/>
      <c r="N5" s="8"/>
      <c r="O5" s="8"/>
      <c r="P5" s="8"/>
    </row>
    <row r="6" spans="1:16" s="9" customFormat="1" ht="15" customHeight="1">
      <c r="B6" s="10" t="s">
        <v>44</v>
      </c>
      <c r="C6" s="9" t="s">
        <v>45</v>
      </c>
      <c r="D6" s="12">
        <f>D3/D2</f>
        <v>52.142857142857146</v>
      </c>
      <c r="E6" s="17"/>
      <c r="F6" s="18"/>
      <c r="G6"/>
      <c r="H6" s="8"/>
      <c r="I6" s="8"/>
      <c r="J6" s="8"/>
      <c r="K6" s="8"/>
      <c r="L6" s="8"/>
      <c r="M6" s="8"/>
      <c r="N6" s="8"/>
      <c r="O6" s="8"/>
      <c r="P6" s="8"/>
    </row>
    <row r="7" spans="1:16" s="9" customFormat="1" ht="15" customHeight="1">
      <c r="B7" s="10" t="s">
        <v>46</v>
      </c>
      <c r="C7" s="11" t="s">
        <v>47</v>
      </c>
      <c r="D7" s="12">
        <v>12</v>
      </c>
      <c r="E7" s="15"/>
      <c r="F7" s="19"/>
      <c r="G7"/>
      <c r="H7" s="8"/>
      <c r="I7" s="8"/>
      <c r="J7" s="8"/>
      <c r="K7" s="8"/>
      <c r="L7" s="8"/>
      <c r="M7" s="8"/>
      <c r="N7" s="8"/>
      <c r="O7" s="8"/>
      <c r="P7" s="8"/>
    </row>
    <row r="8" spans="1:16" s="9" customFormat="1" ht="15" customHeight="1">
      <c r="B8" s="10" t="s">
        <v>48</v>
      </c>
      <c r="C8" s="11" t="s">
        <v>49</v>
      </c>
      <c r="D8" s="12">
        <v>60</v>
      </c>
      <c r="E8" s="15"/>
      <c r="F8" s="20"/>
      <c r="G8"/>
      <c r="H8" s="8"/>
      <c r="I8" s="8"/>
      <c r="J8" s="8"/>
      <c r="K8" s="8"/>
      <c r="L8" s="8"/>
      <c r="M8" s="8"/>
      <c r="N8" s="8"/>
      <c r="O8" s="8"/>
      <c r="P8" s="8"/>
    </row>
    <row r="9" spans="1:16" s="9" customFormat="1" ht="15" customHeight="1">
      <c r="B9" s="10" t="s">
        <v>50</v>
      </c>
      <c r="C9" s="11" t="s">
        <v>51</v>
      </c>
      <c r="D9" s="12">
        <v>52.5</v>
      </c>
      <c r="E9" s="21"/>
      <c r="F9" s="20"/>
      <c r="G9"/>
      <c r="H9" s="8"/>
      <c r="I9" s="8"/>
      <c r="J9" s="8"/>
      <c r="K9" s="8"/>
      <c r="L9" s="8"/>
      <c r="M9" s="8"/>
      <c r="N9" s="8"/>
      <c r="O9" s="8"/>
      <c r="P9" s="8"/>
    </row>
    <row r="10" spans="1:16" s="9" customFormat="1" ht="15" customHeight="1">
      <c r="B10" s="22"/>
      <c r="C10" s="23"/>
      <c r="D10" s="24"/>
      <c r="E10" s="24"/>
      <c r="F10" s="25"/>
      <c r="G10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5" customHeight="1">
      <c r="B11" s="27"/>
    </row>
    <row r="12" spans="1:16" s="28" customFormat="1" ht="15" customHeight="1">
      <c r="B12" s="3"/>
      <c r="C12" s="29" t="s">
        <v>52</v>
      </c>
      <c r="D12" s="29"/>
      <c r="E12" s="29"/>
      <c r="F12" s="30"/>
      <c r="H12" s="31"/>
      <c r="I12" s="31"/>
      <c r="J12" s="31"/>
      <c r="K12" s="31"/>
      <c r="L12" s="31"/>
      <c r="M12" s="31"/>
      <c r="N12" s="31"/>
      <c r="O12" s="31"/>
      <c r="P12" s="31"/>
    </row>
    <row r="13" spans="1:16" ht="113.25" customHeight="1">
      <c r="B13" s="32" t="s">
        <v>35</v>
      </c>
      <c r="C13" s="33" t="s">
        <v>53</v>
      </c>
      <c r="D13" s="87" t="s">
        <v>54</v>
      </c>
      <c r="E13" s="35" t="s">
        <v>55</v>
      </c>
      <c r="F13" s="35" t="s">
        <v>56</v>
      </c>
      <c r="H13" s="36"/>
      <c r="I13" s="36"/>
      <c r="J13" s="36"/>
      <c r="K13" s="36"/>
      <c r="L13" s="36"/>
      <c r="M13" s="36"/>
      <c r="N13" s="36"/>
      <c r="O13" s="36"/>
      <c r="P13" s="36"/>
    </row>
    <row r="14" spans="1:16" ht="96" customHeight="1">
      <c r="B14" s="32" t="s">
        <v>37</v>
      </c>
      <c r="C14" s="37" t="s">
        <v>57</v>
      </c>
      <c r="D14" s="616" t="s">
        <v>58</v>
      </c>
      <c r="E14" s="38" t="s">
        <v>59</v>
      </c>
      <c r="F14" s="39" t="s">
        <v>60</v>
      </c>
      <c r="H14" s="36"/>
      <c r="I14" s="36"/>
      <c r="J14" s="36"/>
      <c r="K14" s="36"/>
      <c r="L14" s="36"/>
      <c r="M14" s="36"/>
      <c r="N14" s="36"/>
      <c r="O14" s="36"/>
      <c r="P14" s="36"/>
    </row>
    <row r="15" spans="1:16" ht="73.5" customHeight="1">
      <c r="B15" s="32" t="s">
        <v>39</v>
      </c>
      <c r="C15" s="33" t="s">
        <v>61</v>
      </c>
      <c r="D15" s="622" t="s">
        <v>62</v>
      </c>
      <c r="E15" s="35" t="s">
        <v>63</v>
      </c>
      <c r="F15" s="35" t="s">
        <v>64</v>
      </c>
      <c r="H15" s="36"/>
      <c r="I15" s="36"/>
      <c r="J15" s="36"/>
      <c r="K15" s="36"/>
      <c r="L15" s="36"/>
      <c r="M15" s="36"/>
      <c r="N15" s="36"/>
      <c r="O15" s="36"/>
      <c r="P15" s="36"/>
    </row>
    <row r="16" spans="1:16" ht="75" customHeight="1">
      <c r="B16" s="32" t="s">
        <v>41</v>
      </c>
      <c r="C16" s="33" t="s">
        <v>65</v>
      </c>
      <c r="D16" s="616" t="s">
        <v>58</v>
      </c>
      <c r="E16" s="35" t="s">
        <v>66</v>
      </c>
      <c r="F16" s="35" t="s">
        <v>67</v>
      </c>
      <c r="H16" s="36"/>
      <c r="I16" s="36"/>
      <c r="J16" s="36"/>
      <c r="K16" s="36"/>
      <c r="L16" s="36"/>
      <c r="M16" s="36"/>
      <c r="N16" s="36"/>
      <c r="O16" s="36"/>
      <c r="P16" s="36"/>
    </row>
    <row r="17" spans="1:17" ht="63" customHeight="1">
      <c r="B17" s="32" t="s">
        <v>44</v>
      </c>
      <c r="C17" s="37" t="s">
        <v>68</v>
      </c>
      <c r="D17" s="616" t="s">
        <v>58</v>
      </c>
      <c r="E17" s="38"/>
      <c r="F17" s="39"/>
      <c r="H17" s="36"/>
      <c r="I17" s="36"/>
      <c r="J17" s="36"/>
      <c r="K17" s="36"/>
      <c r="L17" s="36"/>
      <c r="M17" s="36"/>
      <c r="N17" s="36"/>
      <c r="O17" s="36"/>
      <c r="P17" s="36"/>
    </row>
    <row r="18" spans="1:17" ht="50.25" customHeight="1">
      <c r="B18" s="32" t="s">
        <v>46</v>
      </c>
      <c r="C18" s="37" t="s">
        <v>69</v>
      </c>
      <c r="D18" s="616" t="s">
        <v>58</v>
      </c>
      <c r="E18" s="38" t="s">
        <v>70</v>
      </c>
      <c r="F18" s="39" t="s">
        <v>71</v>
      </c>
      <c r="H18" s="36"/>
      <c r="I18" s="36"/>
      <c r="J18" s="36"/>
      <c r="K18" s="36"/>
      <c r="L18" s="36"/>
      <c r="M18" s="36"/>
      <c r="N18" s="36"/>
      <c r="O18" s="36"/>
      <c r="P18" s="36"/>
    </row>
    <row r="19" spans="1:17" ht="26.25" customHeight="1">
      <c r="B19" s="32" t="s">
        <v>48</v>
      </c>
      <c r="C19" s="37" t="s">
        <v>72</v>
      </c>
      <c r="D19" s="616" t="s">
        <v>58</v>
      </c>
      <c r="E19" s="38"/>
      <c r="F19" s="39"/>
      <c r="H19" s="36"/>
      <c r="I19" s="36"/>
      <c r="J19" s="36"/>
      <c r="K19" s="36"/>
      <c r="L19" s="36"/>
      <c r="M19" s="36"/>
      <c r="N19" s="36"/>
      <c r="O19" s="36"/>
      <c r="P19" s="36"/>
    </row>
    <row r="20" spans="1:17" ht="15" customHeight="1">
      <c r="B20" s="27"/>
      <c r="H20" s="36"/>
      <c r="I20" s="36"/>
      <c r="J20" s="36"/>
      <c r="K20" s="36"/>
      <c r="L20" s="36"/>
      <c r="M20" s="36"/>
      <c r="N20" s="36"/>
      <c r="O20" s="36"/>
      <c r="P20" s="36"/>
    </row>
    <row r="21" spans="1:17" ht="15" customHeight="1">
      <c r="B21" s="3"/>
      <c r="C21" s="40" t="s">
        <v>73</v>
      </c>
      <c r="D21" s="29"/>
      <c r="E21" s="29"/>
      <c r="F21" s="30"/>
      <c r="H21" s="41"/>
      <c r="I21" s="42"/>
      <c r="J21" s="42"/>
      <c r="K21" s="42"/>
      <c r="L21" s="42"/>
      <c r="M21" s="42"/>
      <c r="N21" s="42"/>
      <c r="O21" s="42"/>
      <c r="P21" s="43"/>
    </row>
    <row r="22" spans="1:17" s="9" customFormat="1" ht="3.75" customHeight="1">
      <c r="B22" s="44"/>
      <c r="C22" s="45"/>
      <c r="D22" s="44"/>
      <c r="E22" s="44"/>
      <c r="F22" s="46"/>
      <c r="G22"/>
      <c r="H22" s="47"/>
      <c r="I22" s="48"/>
      <c r="J22" s="49"/>
      <c r="K22" s="50"/>
      <c r="L22" s="50"/>
      <c r="M22" s="49"/>
      <c r="N22" s="49"/>
      <c r="O22" s="49"/>
      <c r="P22" s="51"/>
    </row>
    <row r="23" spans="1:17" s="60" customFormat="1" ht="15" customHeight="1">
      <c r="A23" s="52"/>
      <c r="B23" s="53"/>
      <c r="C23" s="54" t="s">
        <v>74</v>
      </c>
      <c r="D23" s="54"/>
      <c r="E23" s="54"/>
      <c r="F23" s="55"/>
      <c r="G23" s="28"/>
      <c r="H23" s="56" t="s">
        <v>75</v>
      </c>
      <c r="I23" s="57" t="s">
        <v>76</v>
      </c>
      <c r="J23" s="656" t="s">
        <v>77</v>
      </c>
      <c r="K23" s="656"/>
      <c r="L23" s="656"/>
      <c r="M23" s="656"/>
      <c r="N23" s="656"/>
      <c r="O23" s="656"/>
      <c r="P23" s="58"/>
      <c r="Q23" s="59"/>
    </row>
    <row r="24" spans="1:17" s="9" customFormat="1" ht="34.5" customHeight="1">
      <c r="A24" s="2"/>
      <c r="B24" s="61" t="s">
        <v>35</v>
      </c>
      <c r="C24" s="62" t="s">
        <v>78</v>
      </c>
      <c r="D24" s="34" t="s">
        <v>79</v>
      </c>
      <c r="E24" s="63" t="s">
        <v>80</v>
      </c>
      <c r="F24" s="64" t="s">
        <v>81</v>
      </c>
      <c r="G24"/>
      <c r="H24" s="65">
        <f t="shared" ref="H24:O24" si="0">(1/12)</f>
        <v>8.3333333333333329E-2</v>
      </c>
      <c r="I24" s="65">
        <f t="shared" si="0"/>
        <v>8.3333333333333329E-2</v>
      </c>
      <c r="J24" s="65">
        <f t="shared" si="0"/>
        <v>8.3333333333333329E-2</v>
      </c>
      <c r="K24" s="65">
        <f t="shared" si="0"/>
        <v>8.3333333333333329E-2</v>
      </c>
      <c r="L24" s="65">
        <f t="shared" si="0"/>
        <v>8.3333333333333329E-2</v>
      </c>
      <c r="M24" s="65">
        <f t="shared" si="0"/>
        <v>8.3333333333333329E-2</v>
      </c>
      <c r="N24" s="65">
        <f t="shared" si="0"/>
        <v>8.3333333333333329E-2</v>
      </c>
      <c r="O24" s="65">
        <f t="shared" si="0"/>
        <v>8.3333333333333329E-2</v>
      </c>
      <c r="P24" s="65">
        <f t="array" ref="P24">ROUND(INDEX(H24:O24,MATCH($P$115&amp;$P$116,$H$113:$O$113&amp;$H$115:$O$115,0)),4)</f>
        <v>8.3299999999999999E-2</v>
      </c>
      <c r="Q24" s="66"/>
    </row>
    <row r="25" spans="1:17" s="9" customFormat="1" ht="61.5" customHeight="1">
      <c r="A25" s="2"/>
      <c r="B25" s="61" t="s">
        <v>37</v>
      </c>
      <c r="C25" s="62" t="s">
        <v>82</v>
      </c>
      <c r="D25" s="34" t="s">
        <v>83</v>
      </c>
      <c r="E25" s="63" t="s">
        <v>84</v>
      </c>
      <c r="F25" s="64" t="s">
        <v>85</v>
      </c>
      <c r="G25"/>
      <c r="H25" s="65">
        <v>3.0300000000000001E-2</v>
      </c>
      <c r="I25" s="65">
        <v>3.0300000000000001E-2</v>
      </c>
      <c r="J25" s="65">
        <v>3.0300000000000001E-2</v>
      </c>
      <c r="K25" s="65">
        <v>3.0300000000000001E-2</v>
      </c>
      <c r="L25" s="65">
        <v>3.0300000000000001E-2</v>
      </c>
      <c r="M25" s="65">
        <v>3.0300000000000001E-2</v>
      </c>
      <c r="N25" s="65">
        <v>3.0300000000000001E-2</v>
      </c>
      <c r="O25" s="65">
        <v>3.0300000000000001E-2</v>
      </c>
      <c r="P25" s="65">
        <v>3.0300000000000001E-2</v>
      </c>
      <c r="Q25" s="66"/>
    </row>
    <row r="26" spans="1:17" s="9" customFormat="1" ht="30.75" customHeight="1">
      <c r="A26" s="2"/>
      <c r="B26" s="61" t="s">
        <v>39</v>
      </c>
      <c r="C26" s="62" t="s">
        <v>86</v>
      </c>
      <c r="D26" s="34" t="s">
        <v>87</v>
      </c>
      <c r="E26" s="63"/>
      <c r="F26" s="64"/>
      <c r="G26"/>
      <c r="H26" s="65">
        <f t="shared" ref="H26:O26" si="1">(H24+H25)*H39</f>
        <v>4.181706666666668E-2</v>
      </c>
      <c r="I26" s="65">
        <f t="shared" si="1"/>
        <v>4.181706666666668E-2</v>
      </c>
      <c r="J26" s="65">
        <f t="shared" si="1"/>
        <v>3.5226333333333339E-2</v>
      </c>
      <c r="K26" s="65">
        <f t="shared" si="1"/>
        <v>3.5226333333333339E-2</v>
      </c>
      <c r="L26" s="65">
        <f t="shared" si="1"/>
        <v>3.5226333333333339E-2</v>
      </c>
      <c r="M26" s="65">
        <f t="shared" si="1"/>
        <v>3.5226333333333339E-2</v>
      </c>
      <c r="N26" s="65">
        <f t="shared" si="1"/>
        <v>3.5226333333333339E-2</v>
      </c>
      <c r="O26" s="65">
        <f t="shared" si="1"/>
        <v>3.5226333333333339E-2</v>
      </c>
      <c r="P26" s="65">
        <f t="array" ref="P26">ROUND(INDEX(H26:O26,MATCH($P$115&amp;$P$116,$H$113:$O$113&amp;$H$115:$O$115,0)),4)</f>
        <v>4.1799999999999997E-2</v>
      </c>
      <c r="Q26" s="66"/>
    </row>
    <row r="27" spans="1:17" s="9" customFormat="1" ht="3.75" customHeight="1">
      <c r="B27" s="67"/>
      <c r="C27" s="68"/>
      <c r="D27" s="68"/>
      <c r="E27" s="68"/>
      <c r="F27" s="69"/>
      <c r="G27"/>
      <c r="H27" s="70"/>
      <c r="I27" s="70"/>
      <c r="J27" s="70"/>
      <c r="K27" s="70"/>
      <c r="L27" s="70"/>
      <c r="M27" s="70"/>
      <c r="N27" s="70"/>
      <c r="O27" s="70"/>
      <c r="P27" s="70"/>
    </row>
    <row r="28" spans="1:17" s="60" customFormat="1" ht="15" customHeight="1">
      <c r="A28" s="52"/>
      <c r="B28" s="53"/>
      <c r="C28" s="54" t="s">
        <v>88</v>
      </c>
      <c r="D28" s="54"/>
      <c r="E28" s="54"/>
      <c r="F28" s="55"/>
      <c r="G28" s="28"/>
      <c r="H28" s="56"/>
      <c r="I28" s="57"/>
      <c r="J28" s="57"/>
      <c r="K28" s="57"/>
      <c r="L28" s="57"/>
      <c r="M28" s="57"/>
      <c r="N28" s="57"/>
      <c r="O28" s="57"/>
      <c r="P28" s="58"/>
      <c r="Q28" s="59"/>
    </row>
    <row r="29" spans="1:17" s="9" customFormat="1" ht="36.75" customHeight="1">
      <c r="A29" s="2"/>
      <c r="B29" s="10" t="s">
        <v>35</v>
      </c>
      <c r="C29" s="11" t="s">
        <v>89</v>
      </c>
      <c r="D29" s="34"/>
      <c r="E29" s="63" t="s">
        <v>90</v>
      </c>
      <c r="F29" s="64"/>
      <c r="G29"/>
      <c r="H29" s="71">
        <v>0.2</v>
      </c>
      <c r="I29" s="71">
        <v>0.2</v>
      </c>
      <c r="J29" s="71">
        <v>0.2</v>
      </c>
      <c r="K29" s="71">
        <v>0.2</v>
      </c>
      <c r="L29" s="71">
        <v>0.2</v>
      </c>
      <c r="M29" s="71">
        <v>0.2</v>
      </c>
      <c r="N29" s="71">
        <v>0.2</v>
      </c>
      <c r="O29" s="71">
        <v>0.2</v>
      </c>
      <c r="P29" s="71">
        <f t="array" ref="P29">INDEX(H29:O29,MATCH($P$115&amp;$P$116,$H$113:$O$113&amp;$H$115:$O$115,0))</f>
        <v>0.2</v>
      </c>
      <c r="Q29" s="66"/>
    </row>
    <row r="30" spans="1:17" s="9" customFormat="1" ht="33.75" customHeight="1">
      <c r="A30" s="2"/>
      <c r="B30" s="72" t="s">
        <v>37</v>
      </c>
      <c r="C30" s="73" t="s">
        <v>91</v>
      </c>
      <c r="D30" s="34"/>
      <c r="E30" s="63" t="s">
        <v>92</v>
      </c>
      <c r="F30" s="64"/>
      <c r="G30"/>
      <c r="H30" s="71">
        <v>1.4999999999999999E-2</v>
      </c>
      <c r="I30" s="71">
        <v>1.4999999999999999E-2</v>
      </c>
      <c r="J30" s="74"/>
      <c r="K30" s="74"/>
      <c r="L30" s="74"/>
      <c r="M30" s="74"/>
      <c r="N30" s="74"/>
      <c r="O30" s="74"/>
      <c r="P30" s="71">
        <f t="array" ref="P30">INDEX(H30:O30,MATCH($P$115&amp;$P$116,$H$113:$O$113&amp;$H$115:$O$115,0))</f>
        <v>1.4999999999999999E-2</v>
      </c>
      <c r="Q30" s="66"/>
    </row>
    <row r="31" spans="1:17" s="9" customFormat="1" ht="15" customHeight="1">
      <c r="A31" s="2"/>
      <c r="B31" s="72" t="s">
        <v>39</v>
      </c>
      <c r="C31" s="11" t="s">
        <v>93</v>
      </c>
      <c r="D31" s="34"/>
      <c r="E31" s="63" t="s">
        <v>94</v>
      </c>
      <c r="F31" s="64"/>
      <c r="G31"/>
      <c r="H31" s="71">
        <v>0.01</v>
      </c>
      <c r="I31" s="71">
        <v>0.01</v>
      </c>
      <c r="J31" s="74"/>
      <c r="K31" s="74"/>
      <c r="L31" s="74"/>
      <c r="M31" s="74"/>
      <c r="N31" s="74"/>
      <c r="O31" s="74"/>
      <c r="P31" s="71">
        <f t="array" ref="P31">INDEX(H31:O31,MATCH($P$115&amp;$P$116,$H$113:$O$113&amp;$H$115:$O$115,0))</f>
        <v>0.01</v>
      </c>
      <c r="Q31" s="66"/>
    </row>
    <row r="32" spans="1:17" s="9" customFormat="1" ht="41.25" customHeight="1">
      <c r="A32" s="2"/>
      <c r="B32" s="10" t="s">
        <v>41</v>
      </c>
      <c r="C32" s="73" t="s">
        <v>95</v>
      </c>
      <c r="D32" s="34"/>
      <c r="E32" s="63" t="s">
        <v>96</v>
      </c>
      <c r="F32" s="64"/>
      <c r="G32"/>
      <c r="H32" s="71">
        <v>2E-3</v>
      </c>
      <c r="I32" s="71">
        <v>2E-3</v>
      </c>
      <c r="J32" s="74"/>
      <c r="K32" s="74"/>
      <c r="L32" s="74"/>
      <c r="M32" s="74"/>
      <c r="N32" s="74"/>
      <c r="O32" s="74"/>
      <c r="P32" s="71">
        <f t="array" ref="P32">INDEX(H32:O32,MATCH($P$115&amp;$P$116,$H$113:$O$113&amp;$H$115:$O$115,0))</f>
        <v>2E-3</v>
      </c>
      <c r="Q32" s="66"/>
    </row>
    <row r="33" spans="1:18" s="9" customFormat="1" ht="39.75" customHeight="1">
      <c r="A33" s="2"/>
      <c r="B33" s="72" t="s">
        <v>44</v>
      </c>
      <c r="C33" s="11" t="s">
        <v>97</v>
      </c>
      <c r="D33" s="34"/>
      <c r="E33" s="63" t="s">
        <v>98</v>
      </c>
      <c r="F33" s="64"/>
      <c r="G33"/>
      <c r="H33" s="71">
        <v>2.5000000000000001E-2</v>
      </c>
      <c r="I33" s="71">
        <v>2.5000000000000001E-2</v>
      </c>
      <c r="J33" s="74"/>
      <c r="K33" s="74"/>
      <c r="L33" s="74"/>
      <c r="M33" s="74"/>
      <c r="N33" s="74"/>
      <c r="O33" s="74"/>
      <c r="P33" s="71">
        <f t="array" ref="P33">INDEX(H33:O33,MATCH($P$115&amp;$P$116,$H$113:$O$113&amp;$H$115:$O$115,0))</f>
        <v>2.5000000000000001E-2</v>
      </c>
      <c r="Q33" s="66"/>
      <c r="R33" s="75"/>
    </row>
    <row r="34" spans="1:18" s="9" customFormat="1" ht="15" customHeight="1">
      <c r="A34" s="2"/>
      <c r="B34" s="72" t="s">
        <v>46</v>
      </c>
      <c r="C34" s="73" t="s">
        <v>99</v>
      </c>
      <c r="D34" s="34"/>
      <c r="E34" s="63" t="s">
        <v>100</v>
      </c>
      <c r="F34" s="64"/>
      <c r="G34"/>
      <c r="H34" s="71">
        <v>0.08</v>
      </c>
      <c r="I34" s="71">
        <v>0.08</v>
      </c>
      <c r="J34" s="71">
        <v>0.08</v>
      </c>
      <c r="K34" s="71">
        <v>0.08</v>
      </c>
      <c r="L34" s="71">
        <v>0.08</v>
      </c>
      <c r="M34" s="71">
        <v>0.08</v>
      </c>
      <c r="N34" s="71">
        <v>0.08</v>
      </c>
      <c r="O34" s="71">
        <v>0.08</v>
      </c>
      <c r="P34" s="71">
        <f t="array" ref="P34">INDEX(H34:O34,MATCH($P$115&amp;$P$116,$H$113:$O$113&amp;$H$115:$O$115,0))</f>
        <v>0.08</v>
      </c>
      <c r="Q34" s="66"/>
    </row>
    <row r="35" spans="1:18" s="9" customFormat="1" ht="120" customHeight="1">
      <c r="A35" s="2"/>
      <c r="B35" s="657" t="s">
        <v>48</v>
      </c>
      <c r="C35" s="11" t="str">
        <f>CONCATENATE("GILL/RAT (RAT ",H36," x FAP ",H37,")")</f>
        <v>GILL/RAT (RAT 0,03 x FAP 1)</v>
      </c>
      <c r="D35" s="34" t="s">
        <v>101</v>
      </c>
      <c r="E35" s="63" t="s">
        <v>102</v>
      </c>
      <c r="F35" s="658" t="s">
        <v>103</v>
      </c>
      <c r="G35"/>
      <c r="H35" s="71">
        <f t="shared" ref="H35:O35" si="2">ROUND(H36*H37,2)</f>
        <v>0.03</v>
      </c>
      <c r="I35" s="71">
        <f t="shared" si="2"/>
        <v>0.03</v>
      </c>
      <c r="J35" s="71">
        <f t="shared" si="2"/>
        <v>0.03</v>
      </c>
      <c r="K35" s="71">
        <f t="shared" si="2"/>
        <v>0.03</v>
      </c>
      <c r="L35" s="71">
        <f t="shared" si="2"/>
        <v>0.03</v>
      </c>
      <c r="M35" s="71">
        <f t="shared" si="2"/>
        <v>0.03</v>
      </c>
      <c r="N35" s="71">
        <f t="shared" si="2"/>
        <v>0.03</v>
      </c>
      <c r="O35" s="71">
        <f t="shared" si="2"/>
        <v>0.03</v>
      </c>
      <c r="P35" s="71">
        <f t="array" ref="P35">INDEX(H35:O35,MATCH($P$115&amp;$P$116,$H$113:$O$113&amp;$H$115:$O$115,0))</f>
        <v>0.03</v>
      </c>
      <c r="Q35" s="66"/>
    </row>
    <row r="36" spans="1:18" s="9" customFormat="1" ht="18.75" customHeight="1">
      <c r="A36" s="2"/>
      <c r="B36" s="657"/>
      <c r="C36" s="76" t="s">
        <v>104</v>
      </c>
      <c r="D36" s="77"/>
      <c r="E36" s="77"/>
      <c r="F36" s="658"/>
      <c r="G36"/>
      <c r="H36" s="78">
        <v>0.03</v>
      </c>
      <c r="I36" s="71">
        <f t="shared" ref="I36:O37" si="3">H36</f>
        <v>0.03</v>
      </c>
      <c r="J36" s="71">
        <f t="shared" si="3"/>
        <v>0.03</v>
      </c>
      <c r="K36" s="71">
        <f t="shared" si="3"/>
        <v>0.03</v>
      </c>
      <c r="L36" s="71">
        <f t="shared" si="3"/>
        <v>0.03</v>
      </c>
      <c r="M36" s="71">
        <f t="shared" si="3"/>
        <v>0.03</v>
      </c>
      <c r="N36" s="71">
        <f t="shared" si="3"/>
        <v>0.03</v>
      </c>
      <c r="O36" s="71">
        <f t="shared" si="3"/>
        <v>0.03</v>
      </c>
      <c r="P36" s="71">
        <f t="array" ref="P36">INDEX(H36:O36,MATCH($P$115&amp;$P$116,$H$113:$O$113&amp;$H$115:$O$115,0))</f>
        <v>0.03</v>
      </c>
      <c r="Q36" s="66"/>
    </row>
    <row r="37" spans="1:18" s="9" customFormat="1" ht="101.25" customHeight="1">
      <c r="A37" s="2"/>
      <c r="B37" s="657"/>
      <c r="C37" s="76" t="s">
        <v>105</v>
      </c>
      <c r="D37" s="79"/>
      <c r="E37" s="79"/>
      <c r="F37" s="658"/>
      <c r="G37"/>
      <c r="H37" s="80">
        <v>1</v>
      </c>
      <c r="I37" s="81">
        <f t="shared" si="3"/>
        <v>1</v>
      </c>
      <c r="J37" s="81">
        <f t="shared" si="3"/>
        <v>1</v>
      </c>
      <c r="K37" s="81">
        <f t="shared" si="3"/>
        <v>1</v>
      </c>
      <c r="L37" s="81">
        <f t="shared" si="3"/>
        <v>1</v>
      </c>
      <c r="M37" s="81">
        <f t="shared" si="3"/>
        <v>1</v>
      </c>
      <c r="N37" s="81">
        <f t="shared" si="3"/>
        <v>1</v>
      </c>
      <c r="O37" s="81">
        <f t="shared" si="3"/>
        <v>1</v>
      </c>
      <c r="P37" s="81">
        <f t="array" ref="P37">INDEX(H37:O37,MATCH($P$115&amp;$P$116,$H$113:$O$113&amp;$H$115:$O$115,0))</f>
        <v>1</v>
      </c>
      <c r="Q37" s="66"/>
    </row>
    <row r="38" spans="1:18" s="9" customFormat="1" ht="37.5" customHeight="1">
      <c r="A38" s="2"/>
      <c r="B38" s="72" t="s">
        <v>50</v>
      </c>
      <c r="C38" s="73" t="s">
        <v>106</v>
      </c>
      <c r="D38" s="34"/>
      <c r="E38" s="63" t="s">
        <v>107</v>
      </c>
      <c r="F38" s="64"/>
      <c r="G38"/>
      <c r="H38" s="71">
        <v>6.0000000000000001E-3</v>
      </c>
      <c r="I38" s="71">
        <v>6.0000000000000001E-3</v>
      </c>
      <c r="J38" s="71"/>
      <c r="K38" s="71"/>
      <c r="L38" s="71"/>
      <c r="M38" s="71"/>
      <c r="N38" s="71"/>
      <c r="O38" s="71"/>
      <c r="P38" s="71">
        <f t="array" ref="P38">INDEX(H38:O38,MATCH($P$115&amp;$P$116,$H$113:$O$113&amp;$H$115:$O$115,0))</f>
        <v>6.0000000000000001E-3</v>
      </c>
      <c r="Q38" s="66"/>
    </row>
    <row r="39" spans="1:18" s="9" customFormat="1" ht="15" customHeight="1">
      <c r="A39" s="2"/>
      <c r="B39" s="56"/>
      <c r="C39" s="82"/>
      <c r="D39" s="54"/>
      <c r="E39" s="54"/>
      <c r="F39" s="55"/>
      <c r="G39"/>
      <c r="H39" s="83">
        <f>SUM(H29:H38)-H36-H37</f>
        <v>0.3680000000000001</v>
      </c>
      <c r="I39" s="83">
        <f>SUM(I29:I38)-I36-I37</f>
        <v>0.3680000000000001</v>
      </c>
      <c r="J39" s="83">
        <f>SUM(J29:J35)+J38</f>
        <v>0.31000000000000005</v>
      </c>
      <c r="K39" s="83">
        <f>SUM(K29:K38)-K36-K37</f>
        <v>0.31000000000000005</v>
      </c>
      <c r="L39" s="83">
        <f>SUM(L29:L38)-L36-L37</f>
        <v>0.31000000000000005</v>
      </c>
      <c r="M39" s="83">
        <f>SUM(M29:M38)-M36-M37</f>
        <v>0.31000000000000005</v>
      </c>
      <c r="N39" s="83">
        <f>SUM(N29:N38)-N36-N37</f>
        <v>0.31000000000000005</v>
      </c>
      <c r="O39" s="83">
        <f>SUM(O29:O38)-O36-O37</f>
        <v>0.31000000000000005</v>
      </c>
      <c r="P39" s="83">
        <f t="array" ref="P39">INDEX(H39:O39,MATCH($P$115&amp;$P$116,$H$113:$O$113&amp;$H$115:$O$115,0))</f>
        <v>0.3680000000000001</v>
      </c>
      <c r="Q39" s="66"/>
    </row>
    <row r="40" spans="1:18" s="9" customFormat="1" ht="3.75" customHeight="1">
      <c r="B40" s="44"/>
      <c r="C40" s="84"/>
      <c r="D40" s="44"/>
      <c r="E40" s="44"/>
      <c r="F40" s="46"/>
      <c r="G40"/>
      <c r="H40" s="85"/>
      <c r="I40" s="85"/>
      <c r="J40" s="85"/>
      <c r="K40" s="85"/>
      <c r="L40" s="85"/>
      <c r="M40" s="85"/>
      <c r="N40" s="85"/>
      <c r="O40" s="85"/>
      <c r="P40" s="85"/>
    </row>
    <row r="41" spans="1:18" s="60" customFormat="1" ht="15" customHeight="1">
      <c r="B41" s="56"/>
      <c r="C41" s="54" t="s">
        <v>108</v>
      </c>
      <c r="D41" s="54"/>
      <c r="E41" s="54"/>
      <c r="F41" s="55"/>
      <c r="G41" s="28"/>
      <c r="H41" s="86"/>
      <c r="I41" s="86"/>
      <c r="J41" s="86"/>
      <c r="K41" s="86"/>
      <c r="L41" s="86"/>
      <c r="M41" s="86"/>
      <c r="N41" s="86"/>
      <c r="O41" s="86"/>
      <c r="P41" s="86"/>
      <c r="Q41" s="59"/>
    </row>
    <row r="42" spans="1:18" s="9" customFormat="1" ht="52.5" customHeight="1">
      <c r="B42" s="32" t="s">
        <v>35</v>
      </c>
      <c r="C42" s="33" t="s">
        <v>109</v>
      </c>
      <c r="D42" s="87" t="s">
        <v>110</v>
      </c>
      <c r="E42" s="35" t="s">
        <v>111</v>
      </c>
      <c r="F42" s="35"/>
      <c r="G42"/>
      <c r="H42" s="88"/>
      <c r="I42" s="88"/>
      <c r="J42" s="88"/>
      <c r="K42" s="88"/>
      <c r="L42" s="88"/>
      <c r="M42" s="88"/>
      <c r="N42" s="88"/>
      <c r="O42" s="88"/>
      <c r="P42" s="88"/>
      <c r="Q42" s="66"/>
    </row>
    <row r="43" spans="1:18" s="9" customFormat="1" ht="38.25" customHeight="1">
      <c r="B43" s="32" t="s">
        <v>37</v>
      </c>
      <c r="C43" s="33" t="s">
        <v>112</v>
      </c>
      <c r="D43" s="87" t="s">
        <v>113</v>
      </c>
      <c r="E43" s="35" t="s">
        <v>114</v>
      </c>
      <c r="F43" s="35" t="s">
        <v>115</v>
      </c>
      <c r="G43"/>
      <c r="H43" s="88"/>
      <c r="I43" s="88"/>
      <c r="J43" s="88"/>
      <c r="K43" s="88"/>
      <c r="L43" s="88"/>
      <c r="M43" s="88"/>
      <c r="N43" s="88"/>
      <c r="O43" s="88"/>
      <c r="P43" s="88"/>
      <c r="Q43" s="66"/>
    </row>
    <row r="44" spans="1:18" s="9" customFormat="1" ht="21.75" customHeight="1">
      <c r="B44" s="32" t="s">
        <v>39</v>
      </c>
      <c r="C44" s="33" t="s">
        <v>116</v>
      </c>
      <c r="D44" s="87" t="s">
        <v>117</v>
      </c>
      <c r="E44" s="35" t="s">
        <v>118</v>
      </c>
      <c r="F44" s="35" t="s">
        <v>115</v>
      </c>
      <c r="G44"/>
      <c r="H44" s="88"/>
      <c r="I44" s="88"/>
      <c r="J44" s="88"/>
      <c r="K44" s="88"/>
      <c r="L44" s="88"/>
      <c r="M44" s="88"/>
      <c r="N44" s="88"/>
      <c r="O44" s="88"/>
      <c r="P44" s="88"/>
      <c r="Q44" s="66"/>
    </row>
    <row r="45" spans="1:18" s="9" customFormat="1" ht="41.25" customHeight="1">
      <c r="B45" s="32" t="s">
        <v>41</v>
      </c>
      <c r="C45" s="33" t="s">
        <v>119</v>
      </c>
      <c r="D45" s="616" t="s">
        <v>58</v>
      </c>
      <c r="E45" s="35" t="s">
        <v>118</v>
      </c>
      <c r="F45" s="35" t="s">
        <v>120</v>
      </c>
      <c r="G45"/>
      <c r="H45" s="88"/>
      <c r="I45" s="88"/>
      <c r="J45" s="88"/>
      <c r="K45" s="88"/>
      <c r="L45" s="88"/>
      <c r="M45" s="88"/>
      <c r="N45" s="88"/>
      <c r="O45" s="88"/>
      <c r="P45" s="88"/>
      <c r="Q45" s="66"/>
    </row>
    <row r="46" spans="1:18" s="9" customFormat="1" ht="39.75" customHeight="1">
      <c r="B46" s="32" t="s">
        <v>44</v>
      </c>
      <c r="C46" s="33" t="s">
        <v>121</v>
      </c>
      <c r="D46" s="87" t="s">
        <v>122</v>
      </c>
      <c r="E46" s="35"/>
      <c r="F46" s="35" t="s">
        <v>120</v>
      </c>
      <c r="G46"/>
      <c r="H46" s="88"/>
      <c r="I46" s="88"/>
      <c r="J46" s="88"/>
      <c r="K46" s="88"/>
      <c r="L46" s="88"/>
      <c r="M46" s="88"/>
      <c r="N46" s="88"/>
      <c r="O46" s="88"/>
      <c r="P46" s="88"/>
      <c r="Q46" s="66"/>
    </row>
    <row r="47" spans="1:18" s="9" customFormat="1" ht="28.5" customHeight="1">
      <c r="B47" s="32" t="s">
        <v>46</v>
      </c>
      <c r="C47" s="33" t="s">
        <v>123</v>
      </c>
      <c r="D47" s="87" t="s">
        <v>124</v>
      </c>
      <c r="E47" s="35"/>
      <c r="F47" s="35" t="s">
        <v>115</v>
      </c>
      <c r="G47"/>
      <c r="H47" s="88"/>
      <c r="I47" s="88"/>
      <c r="J47" s="88"/>
      <c r="K47" s="88"/>
      <c r="L47" s="88"/>
      <c r="M47" s="88"/>
      <c r="N47" s="88"/>
      <c r="O47" s="88"/>
      <c r="P47" s="88"/>
      <c r="Q47" s="66"/>
    </row>
    <row r="48" spans="1:18" s="9" customFormat="1" ht="18" customHeight="1">
      <c r="B48" s="32" t="s">
        <v>48</v>
      </c>
      <c r="C48" s="33" t="s">
        <v>125</v>
      </c>
      <c r="D48" s="616" t="s">
        <v>58</v>
      </c>
      <c r="E48" s="35"/>
      <c r="F48" s="35" t="s">
        <v>120</v>
      </c>
      <c r="G48"/>
      <c r="H48" s="88"/>
      <c r="I48" s="88"/>
      <c r="J48" s="88"/>
      <c r="K48" s="88"/>
      <c r="L48" s="88"/>
      <c r="M48" s="88"/>
      <c r="N48" s="88"/>
      <c r="O48" s="88"/>
      <c r="P48" s="88"/>
      <c r="Q48" s="66"/>
    </row>
    <row r="49" spans="1:17" s="9" customFormat="1" ht="45" customHeight="1">
      <c r="B49" s="32" t="s">
        <v>50</v>
      </c>
      <c r="C49" s="33" t="s">
        <v>126</v>
      </c>
      <c r="D49" s="87" t="s">
        <v>127</v>
      </c>
      <c r="E49" s="35" t="s">
        <v>128</v>
      </c>
      <c r="F49" s="35" t="s">
        <v>120</v>
      </c>
      <c r="G49"/>
      <c r="H49" s="88"/>
      <c r="I49" s="88"/>
      <c r="J49" s="88"/>
      <c r="K49" s="88"/>
      <c r="L49" s="88"/>
      <c r="M49" s="88"/>
      <c r="N49" s="88"/>
      <c r="O49" s="88"/>
      <c r="P49" s="88"/>
      <c r="Q49" s="66"/>
    </row>
    <row r="50" spans="1:17" s="9" customFormat="1" ht="15" customHeight="1">
      <c r="B50" s="44"/>
      <c r="C50" s="84"/>
      <c r="D50" s="44"/>
      <c r="E50" s="44"/>
      <c r="F50" s="46"/>
      <c r="G50"/>
      <c r="H50" s="89"/>
      <c r="I50" s="89"/>
      <c r="J50" s="89"/>
      <c r="K50" s="89"/>
      <c r="L50" s="89"/>
      <c r="M50" s="89"/>
      <c r="N50" s="89"/>
      <c r="O50" s="89"/>
      <c r="P50" s="89"/>
    </row>
    <row r="51" spans="1:17" s="28" customFormat="1" ht="15" customHeight="1">
      <c r="B51" s="41"/>
      <c r="C51" s="29" t="s">
        <v>129</v>
      </c>
      <c r="D51" s="29"/>
      <c r="E51" s="29"/>
      <c r="F51" s="30"/>
      <c r="H51" s="41"/>
      <c r="I51" s="42"/>
      <c r="J51" s="42"/>
      <c r="K51" s="42"/>
      <c r="L51" s="42"/>
      <c r="M51" s="42"/>
      <c r="N51" s="42"/>
      <c r="O51" s="42"/>
      <c r="P51" s="43"/>
    </row>
    <row r="52" spans="1:17" s="9" customFormat="1" ht="3.75" customHeight="1">
      <c r="B52" s="90"/>
      <c r="C52" s="84"/>
      <c r="D52" s="44"/>
      <c r="E52" s="44"/>
      <c r="F52" s="46"/>
      <c r="G52"/>
      <c r="H52" s="91"/>
      <c r="I52" s="91"/>
      <c r="J52" s="91"/>
      <c r="K52" s="91"/>
      <c r="L52" s="91"/>
      <c r="M52" s="91"/>
      <c r="N52" s="91"/>
      <c r="O52" s="91"/>
      <c r="P52" s="91"/>
    </row>
    <row r="53" spans="1:17" s="60" customFormat="1" ht="15" customHeight="1">
      <c r="B53" s="56"/>
      <c r="C53" s="54" t="s">
        <v>130</v>
      </c>
      <c r="D53" s="54"/>
      <c r="E53" s="54"/>
      <c r="F53" s="55"/>
      <c r="G53" s="28"/>
      <c r="H53" s="56"/>
      <c r="I53" s="57"/>
      <c r="J53" s="57"/>
      <c r="K53" s="57"/>
      <c r="L53" s="57"/>
      <c r="M53" s="57"/>
      <c r="N53" s="57"/>
      <c r="O53" s="57"/>
      <c r="P53" s="58"/>
    </row>
    <row r="54" spans="1:17" s="9" customFormat="1" ht="15" customHeight="1">
      <c r="A54" s="2"/>
      <c r="B54" s="10"/>
      <c r="C54" s="92" t="s">
        <v>131</v>
      </c>
      <c r="D54" s="93"/>
      <c r="E54" s="93"/>
      <c r="F54" s="94"/>
      <c r="G54"/>
      <c r="H54" s="95">
        <v>0.05</v>
      </c>
      <c r="I54" s="95">
        <f t="shared" ref="I54:O59" si="4">H54</f>
        <v>0.05</v>
      </c>
      <c r="J54" s="95">
        <f t="shared" si="4"/>
        <v>0.05</v>
      </c>
      <c r="K54" s="95">
        <f t="shared" si="4"/>
        <v>0.05</v>
      </c>
      <c r="L54" s="95">
        <f t="shared" si="4"/>
        <v>0.05</v>
      </c>
      <c r="M54" s="95">
        <f t="shared" si="4"/>
        <v>0.05</v>
      </c>
      <c r="N54" s="95">
        <f t="shared" si="4"/>
        <v>0.05</v>
      </c>
      <c r="O54" s="95">
        <f t="shared" si="4"/>
        <v>0.05</v>
      </c>
      <c r="P54" s="95">
        <f t="array" ref="P54">INDEX(H54:O54,MATCH($P$115&amp;$P$116,$H$113:$O$113&amp;$H$115:$O$115,0))</f>
        <v>0.05</v>
      </c>
      <c r="Q54" s="66"/>
    </row>
    <row r="55" spans="1:17" s="9" customFormat="1" ht="15" customHeight="1">
      <c r="A55" s="2"/>
      <c r="B55" s="10"/>
      <c r="C55" s="92" t="s">
        <v>99</v>
      </c>
      <c r="D55" s="93"/>
      <c r="E55" s="93"/>
      <c r="F55" s="94"/>
      <c r="G55"/>
      <c r="H55" s="95">
        <v>0.08</v>
      </c>
      <c r="I55" s="95">
        <f t="shared" si="4"/>
        <v>0.08</v>
      </c>
      <c r="J55" s="95">
        <f t="shared" si="4"/>
        <v>0.08</v>
      </c>
      <c r="K55" s="95">
        <f t="shared" si="4"/>
        <v>0.08</v>
      </c>
      <c r="L55" s="95">
        <f t="shared" si="4"/>
        <v>0.08</v>
      </c>
      <c r="M55" s="95">
        <f t="shared" si="4"/>
        <v>0.08</v>
      </c>
      <c r="N55" s="95">
        <f t="shared" si="4"/>
        <v>0.08</v>
      </c>
      <c r="O55" s="95">
        <f t="shared" si="4"/>
        <v>0.08</v>
      </c>
      <c r="P55" s="95">
        <f t="array" ref="P55">INDEX(H55:O55,MATCH($P$115&amp;$P$116,$H$113:$O$113&amp;$H$115:$O$115,0))</f>
        <v>0.08</v>
      </c>
      <c r="Q55" s="66"/>
    </row>
    <row r="56" spans="1:17" s="9" customFormat="1" ht="15" customHeight="1">
      <c r="A56" s="2"/>
      <c r="B56" s="10"/>
      <c r="C56" s="92" t="s">
        <v>132</v>
      </c>
      <c r="D56" s="93"/>
      <c r="E56" s="93"/>
      <c r="F56" s="94"/>
      <c r="G56"/>
      <c r="H56" s="95">
        <v>0.4</v>
      </c>
      <c r="I56" s="95">
        <f t="shared" si="4"/>
        <v>0.4</v>
      </c>
      <c r="J56" s="95">
        <f t="shared" si="4"/>
        <v>0.4</v>
      </c>
      <c r="K56" s="95">
        <f t="shared" si="4"/>
        <v>0.4</v>
      </c>
      <c r="L56" s="95">
        <f t="shared" si="4"/>
        <v>0.4</v>
      </c>
      <c r="M56" s="95">
        <f t="shared" si="4"/>
        <v>0.4</v>
      </c>
      <c r="N56" s="95">
        <f t="shared" si="4"/>
        <v>0.4</v>
      </c>
      <c r="O56" s="95">
        <f t="shared" si="4"/>
        <v>0.4</v>
      </c>
      <c r="P56" s="95">
        <f t="array" ref="P56">INDEX(H56:O56,MATCH($P$115&amp;$P$116,$H$113:$O$113&amp;$H$115:$O$115,0))</f>
        <v>0.4</v>
      </c>
      <c r="Q56" s="66"/>
    </row>
    <row r="57" spans="1:17" s="9" customFormat="1" ht="15" customHeight="1">
      <c r="A57" s="2"/>
      <c r="B57" s="10"/>
      <c r="C57" s="92" t="s">
        <v>133</v>
      </c>
      <c r="D57" s="93"/>
      <c r="E57" s="93"/>
      <c r="F57" s="94"/>
      <c r="G57"/>
      <c r="H57" s="95">
        <v>0.02</v>
      </c>
      <c r="I57" s="95">
        <f t="shared" si="4"/>
        <v>0.02</v>
      </c>
      <c r="J57" s="95">
        <f t="shared" si="4"/>
        <v>0.02</v>
      </c>
      <c r="K57" s="95">
        <f t="shared" si="4"/>
        <v>0.02</v>
      </c>
      <c r="L57" s="95">
        <f t="shared" si="4"/>
        <v>0.02</v>
      </c>
      <c r="M57" s="95">
        <f t="shared" si="4"/>
        <v>0.02</v>
      </c>
      <c r="N57" s="95">
        <f t="shared" si="4"/>
        <v>0.02</v>
      </c>
      <c r="O57" s="95">
        <f t="shared" si="4"/>
        <v>0.02</v>
      </c>
      <c r="P57" s="95">
        <f t="array" ref="P57">INDEX(H57:O57,MATCH($P$115&amp;$P$116,$H$113:$O$113&amp;$H$115:$O$115,0))</f>
        <v>0.02</v>
      </c>
      <c r="Q57" s="66"/>
    </row>
    <row r="58" spans="1:17" s="9" customFormat="1" ht="15" customHeight="1">
      <c r="A58" s="2"/>
      <c r="B58" s="10"/>
      <c r="C58" s="92" t="s">
        <v>134</v>
      </c>
      <c r="D58" s="93"/>
      <c r="E58" s="93"/>
      <c r="F58" s="94"/>
      <c r="G58"/>
      <c r="H58" s="95">
        <v>1</v>
      </c>
      <c r="I58" s="95">
        <f t="shared" si="4"/>
        <v>1</v>
      </c>
      <c r="J58" s="95">
        <f t="shared" si="4"/>
        <v>1</v>
      </c>
      <c r="K58" s="95">
        <f t="shared" si="4"/>
        <v>1</v>
      </c>
      <c r="L58" s="95">
        <f t="shared" si="4"/>
        <v>1</v>
      </c>
      <c r="M58" s="95">
        <f t="shared" si="4"/>
        <v>1</v>
      </c>
      <c r="N58" s="95">
        <f t="shared" si="4"/>
        <v>1</v>
      </c>
      <c r="O58" s="95">
        <f t="shared" si="4"/>
        <v>1</v>
      </c>
      <c r="P58" s="95">
        <f t="array" ref="P58">INDEX(H58:O58,MATCH($P$115&amp;$P$116,$H$113:$O$113&amp;$H$115:$O$115,0))</f>
        <v>1</v>
      </c>
      <c r="Q58" s="66"/>
    </row>
    <row r="59" spans="1:17" s="9" customFormat="1" ht="15" customHeight="1">
      <c r="A59" s="2"/>
      <c r="B59" s="10"/>
      <c r="C59" s="92" t="s">
        <v>135</v>
      </c>
      <c r="D59" s="96"/>
      <c r="E59" s="96"/>
      <c r="F59" s="97"/>
      <c r="G59"/>
      <c r="H59" s="98">
        <v>7</v>
      </c>
      <c r="I59" s="98">
        <f t="shared" si="4"/>
        <v>7</v>
      </c>
      <c r="J59" s="98">
        <f t="shared" si="4"/>
        <v>7</v>
      </c>
      <c r="K59" s="98">
        <f t="shared" si="4"/>
        <v>7</v>
      </c>
      <c r="L59" s="98">
        <f t="shared" si="4"/>
        <v>7</v>
      </c>
      <c r="M59" s="98">
        <f t="shared" si="4"/>
        <v>7</v>
      </c>
      <c r="N59" s="98">
        <f t="shared" si="4"/>
        <v>7</v>
      </c>
      <c r="O59" s="98">
        <f t="shared" si="4"/>
        <v>7</v>
      </c>
      <c r="P59" s="98">
        <f t="array" ref="P59">INDEX(H59:O59,MATCH($P$115&amp;$P$116,$H$113:$O$113&amp;$H$115:$O$115,0))</f>
        <v>7</v>
      </c>
      <c r="Q59" s="66"/>
    </row>
    <row r="60" spans="1:17" s="9" customFormat="1" ht="3.75" customHeight="1">
      <c r="B60" s="99"/>
      <c r="C60" s="100"/>
      <c r="D60" s="99"/>
      <c r="E60" s="99"/>
      <c r="F60" s="101"/>
      <c r="G60"/>
      <c r="H60" s="102"/>
      <c r="I60" s="102"/>
      <c r="J60" s="102"/>
      <c r="K60" s="102"/>
      <c r="L60" s="102"/>
      <c r="M60" s="102"/>
      <c r="N60" s="102"/>
      <c r="O60" s="102"/>
      <c r="P60" s="102"/>
    </row>
    <row r="61" spans="1:17" s="60" customFormat="1" ht="15" customHeight="1">
      <c r="B61" s="56"/>
      <c r="C61" s="54" t="s">
        <v>136</v>
      </c>
      <c r="D61" s="54"/>
      <c r="E61" s="54"/>
      <c r="F61" s="55"/>
      <c r="G61" s="28"/>
      <c r="H61" s="56"/>
      <c r="I61" s="57"/>
      <c r="J61" s="57"/>
      <c r="K61" s="57"/>
      <c r="L61" s="57"/>
      <c r="M61" s="57"/>
      <c r="N61" s="57"/>
      <c r="O61" s="57"/>
      <c r="P61" s="58"/>
    </row>
    <row r="62" spans="1:17" s="9" customFormat="1" ht="60" customHeight="1">
      <c r="A62" s="2"/>
      <c r="B62" s="10" t="s">
        <v>35</v>
      </c>
      <c r="C62" s="11" t="s">
        <v>137</v>
      </c>
      <c r="D62" s="34" t="s">
        <v>138</v>
      </c>
      <c r="E62" s="35" t="s">
        <v>139</v>
      </c>
      <c r="F62" s="35" t="s">
        <v>140</v>
      </c>
      <c r="G62"/>
      <c r="H62" s="78">
        <f>((D4/$D$4)/$D$7)*H54</f>
        <v>4.1666666666666666E-3</v>
      </c>
      <c r="I62" s="71">
        <f t="shared" ref="I62:P62" si="5">H$62</f>
        <v>4.1666666666666666E-3</v>
      </c>
      <c r="J62" s="71">
        <f t="shared" si="5"/>
        <v>4.1666666666666666E-3</v>
      </c>
      <c r="K62" s="71">
        <f t="shared" si="5"/>
        <v>4.1666666666666666E-3</v>
      </c>
      <c r="L62" s="71">
        <f t="shared" si="5"/>
        <v>4.1666666666666666E-3</v>
      </c>
      <c r="M62" s="71">
        <f t="shared" si="5"/>
        <v>4.1666666666666666E-3</v>
      </c>
      <c r="N62" s="71">
        <f t="shared" si="5"/>
        <v>4.1666666666666666E-3</v>
      </c>
      <c r="O62" s="71">
        <f t="shared" si="5"/>
        <v>4.1666666666666666E-3</v>
      </c>
      <c r="P62" s="71">
        <f t="shared" si="5"/>
        <v>4.1666666666666666E-3</v>
      </c>
      <c r="Q62" s="66"/>
    </row>
    <row r="63" spans="1:17" s="9" customFormat="1" ht="21.75" customHeight="1">
      <c r="A63" s="2"/>
      <c r="B63" s="72" t="s">
        <v>37</v>
      </c>
      <c r="C63" s="11" t="s">
        <v>141</v>
      </c>
      <c r="D63" s="34" t="s">
        <v>142</v>
      </c>
      <c r="E63" s="35" t="s">
        <v>143</v>
      </c>
      <c r="F63" s="35"/>
      <c r="G63"/>
      <c r="H63" s="71">
        <f>(H62*H55)</f>
        <v>3.3333333333333332E-4</v>
      </c>
      <c r="I63" s="71">
        <f t="shared" ref="I63:O63" si="6">H63</f>
        <v>3.3333333333333332E-4</v>
      </c>
      <c r="J63" s="71">
        <f t="shared" si="6"/>
        <v>3.3333333333333332E-4</v>
      </c>
      <c r="K63" s="71">
        <f t="shared" si="6"/>
        <v>3.3333333333333332E-4</v>
      </c>
      <c r="L63" s="71">
        <f t="shared" si="6"/>
        <v>3.3333333333333332E-4</v>
      </c>
      <c r="M63" s="71">
        <f t="shared" si="6"/>
        <v>3.3333333333333332E-4</v>
      </c>
      <c r="N63" s="71">
        <f t="shared" si="6"/>
        <v>3.3333333333333332E-4</v>
      </c>
      <c r="O63" s="71">
        <f t="shared" si="6"/>
        <v>3.3333333333333332E-4</v>
      </c>
      <c r="P63" s="71">
        <f t="array" ref="P63">ROUND(INDEX(H63:O63,MATCH($P$115&amp;$P$116,$H$113:$O$113&amp;$H$115:$O$115,0)),4)</f>
        <v>2.9999999999999997E-4</v>
      </c>
      <c r="Q63" s="66"/>
    </row>
    <row r="64" spans="1:17" s="9" customFormat="1" ht="70.5" customHeight="1">
      <c r="A64" s="2"/>
      <c r="B64" s="10" t="s">
        <v>39</v>
      </c>
      <c r="C64" s="11" t="s">
        <v>144</v>
      </c>
      <c r="D64" s="34" t="s">
        <v>145</v>
      </c>
      <c r="E64" s="35" t="s">
        <v>146</v>
      </c>
      <c r="F64" s="35" t="s">
        <v>147</v>
      </c>
      <c r="G64"/>
      <c r="H64" s="78">
        <f>(+((H59/$D$4)/$D$7))</f>
        <v>1.9444444444444445E-2</v>
      </c>
      <c r="I64" s="71">
        <f t="shared" ref="I64:P64" si="7">H$64</f>
        <v>1.9444444444444445E-2</v>
      </c>
      <c r="J64" s="71">
        <f t="shared" si="7"/>
        <v>1.9444444444444445E-2</v>
      </c>
      <c r="K64" s="71">
        <f t="shared" si="7"/>
        <v>1.9444444444444445E-2</v>
      </c>
      <c r="L64" s="71">
        <f t="shared" si="7"/>
        <v>1.9444444444444445E-2</v>
      </c>
      <c r="M64" s="71">
        <f t="shared" si="7"/>
        <v>1.9444444444444445E-2</v>
      </c>
      <c r="N64" s="71">
        <f t="shared" si="7"/>
        <v>1.9444444444444445E-2</v>
      </c>
      <c r="O64" s="71">
        <f t="shared" si="7"/>
        <v>1.9444444444444445E-2</v>
      </c>
      <c r="P64" s="71">
        <f t="shared" si="7"/>
        <v>1.9444444444444445E-2</v>
      </c>
      <c r="Q64" s="66"/>
    </row>
    <row r="65" spans="1:17" s="9" customFormat="1" ht="29.25" customHeight="1">
      <c r="A65" s="2"/>
      <c r="B65" s="72" t="s">
        <v>41</v>
      </c>
      <c r="C65" s="11" t="s">
        <v>148</v>
      </c>
      <c r="D65" s="34" t="s">
        <v>149</v>
      </c>
      <c r="E65" s="35" t="s">
        <v>150</v>
      </c>
      <c r="F65" s="35"/>
      <c r="G65"/>
      <c r="H65" s="71">
        <f>$H$64*H39</f>
        <v>7.1555555555555574E-3</v>
      </c>
      <c r="I65" s="71">
        <f t="shared" ref="I65:O65" si="8">H65</f>
        <v>7.1555555555555574E-3</v>
      </c>
      <c r="J65" s="71">
        <f t="shared" si="8"/>
        <v>7.1555555555555574E-3</v>
      </c>
      <c r="K65" s="71">
        <f t="shared" si="8"/>
        <v>7.1555555555555574E-3</v>
      </c>
      <c r="L65" s="71">
        <f t="shared" si="8"/>
        <v>7.1555555555555574E-3</v>
      </c>
      <c r="M65" s="71">
        <f t="shared" si="8"/>
        <v>7.1555555555555574E-3</v>
      </c>
      <c r="N65" s="71">
        <f t="shared" si="8"/>
        <v>7.1555555555555574E-3</v>
      </c>
      <c r="O65" s="71">
        <f t="shared" si="8"/>
        <v>7.1555555555555574E-3</v>
      </c>
      <c r="P65" s="71">
        <f t="array" ref="P65">ROUND(INDEX(H65:O65,MATCH($P$115&amp;$P$116,$H$113:$O$113&amp;$H$115:$O$115,0)),4)</f>
        <v>7.1999999999999998E-3</v>
      </c>
      <c r="Q65" s="66"/>
    </row>
    <row r="66" spans="1:17" s="9" customFormat="1" ht="85.5" customHeight="1">
      <c r="A66" s="2"/>
      <c r="B66" s="72" t="s">
        <v>44</v>
      </c>
      <c r="C66" s="11" t="s">
        <v>151</v>
      </c>
      <c r="D66" s="34" t="s">
        <v>152</v>
      </c>
      <c r="E66" s="35" t="s">
        <v>153</v>
      </c>
      <c r="F66" s="35" t="s">
        <v>154</v>
      </c>
      <c r="G66"/>
      <c r="H66" s="103">
        <v>0.04</v>
      </c>
      <c r="I66" s="71">
        <f t="shared" ref="I66:P66" si="9">H$66</f>
        <v>0.04</v>
      </c>
      <c r="J66" s="71">
        <f t="shared" si="9"/>
        <v>0.04</v>
      </c>
      <c r="K66" s="71">
        <f t="shared" si="9"/>
        <v>0.04</v>
      </c>
      <c r="L66" s="71">
        <f t="shared" si="9"/>
        <v>0.04</v>
      </c>
      <c r="M66" s="71">
        <f t="shared" si="9"/>
        <v>0.04</v>
      </c>
      <c r="N66" s="71">
        <f t="shared" si="9"/>
        <v>0.04</v>
      </c>
      <c r="O66" s="71">
        <f t="shared" si="9"/>
        <v>0.04</v>
      </c>
      <c r="P66" s="71">
        <f t="shared" si="9"/>
        <v>0.04</v>
      </c>
      <c r="Q66" s="66"/>
    </row>
    <row r="67" spans="1:17" s="9" customFormat="1" ht="15" customHeight="1">
      <c r="B67" s="99"/>
      <c r="C67" s="100"/>
      <c r="D67" s="99"/>
      <c r="E67" s="99"/>
      <c r="F67" s="101"/>
      <c r="G67"/>
      <c r="H67" s="102"/>
      <c r="I67" s="102"/>
      <c r="J67" s="102"/>
      <c r="K67" s="102"/>
      <c r="L67" s="102"/>
      <c r="M67" s="102"/>
      <c r="N67" s="102"/>
      <c r="O67" s="102"/>
      <c r="P67" s="102"/>
    </row>
    <row r="68" spans="1:17" s="28" customFormat="1" ht="15" customHeight="1">
      <c r="B68" s="41"/>
      <c r="C68" s="29" t="s">
        <v>155</v>
      </c>
      <c r="D68" s="29"/>
      <c r="E68" s="29"/>
      <c r="F68" s="30"/>
      <c r="H68" s="41"/>
      <c r="I68" s="42"/>
      <c r="J68" s="42"/>
      <c r="K68" s="42"/>
      <c r="L68" s="42"/>
      <c r="M68" s="42"/>
      <c r="N68" s="42"/>
      <c r="O68" s="42"/>
      <c r="P68" s="43"/>
    </row>
    <row r="69" spans="1:17" s="60" customFormat="1" ht="3.75" customHeight="1">
      <c r="B69" s="104"/>
      <c r="C69" s="105"/>
      <c r="D69" s="104"/>
      <c r="E69" s="104"/>
      <c r="F69" s="106"/>
      <c r="G69" s="28"/>
      <c r="H69" s="107"/>
      <c r="I69" s="107"/>
      <c r="J69" s="107"/>
      <c r="K69" s="107"/>
      <c r="L69" s="107"/>
      <c r="M69" s="107"/>
      <c r="N69" s="107"/>
      <c r="O69" s="107"/>
      <c r="P69" s="107"/>
    </row>
    <row r="70" spans="1:17" s="60" customFormat="1" ht="15" customHeight="1">
      <c r="B70" s="56"/>
      <c r="C70" s="54" t="s">
        <v>130</v>
      </c>
      <c r="D70" s="54"/>
      <c r="E70" s="54"/>
      <c r="F70" s="55"/>
      <c r="G70" s="28"/>
      <c r="H70" s="56"/>
      <c r="I70" s="57"/>
      <c r="J70" s="57"/>
      <c r="K70" s="57"/>
      <c r="L70" s="57"/>
      <c r="M70" s="57"/>
      <c r="N70" s="57"/>
      <c r="O70" s="57"/>
      <c r="P70" s="58"/>
    </row>
    <row r="71" spans="1:17" s="9" customFormat="1" ht="15" customHeight="1">
      <c r="A71" s="2"/>
      <c r="B71" s="108"/>
      <c r="C71" s="92" t="s">
        <v>156</v>
      </c>
      <c r="D71" s="96"/>
      <c r="E71" s="96"/>
      <c r="F71" s="97"/>
      <c r="G71"/>
      <c r="H71" s="98">
        <v>5</v>
      </c>
      <c r="I71" s="98">
        <f t="shared" ref="I71:P72" si="10">H71</f>
        <v>5</v>
      </c>
      <c r="J71" s="98">
        <f t="shared" si="10"/>
        <v>5</v>
      </c>
      <c r="K71" s="98">
        <f t="shared" si="10"/>
        <v>5</v>
      </c>
      <c r="L71" s="98">
        <f t="shared" si="10"/>
        <v>5</v>
      </c>
      <c r="M71" s="98">
        <f t="shared" si="10"/>
        <v>5</v>
      </c>
      <c r="N71" s="98">
        <f t="shared" si="10"/>
        <v>5</v>
      </c>
      <c r="O71" s="98">
        <f t="shared" si="10"/>
        <v>5</v>
      </c>
      <c r="P71" s="98">
        <f t="shared" si="10"/>
        <v>5</v>
      </c>
      <c r="Q71" s="66"/>
    </row>
    <row r="72" spans="1:17" s="9" customFormat="1" ht="15" customHeight="1">
      <c r="A72" s="2"/>
      <c r="B72" s="108"/>
      <c r="C72" s="92" t="s">
        <v>157</v>
      </c>
      <c r="D72" s="96"/>
      <c r="E72" s="96"/>
      <c r="F72" s="97"/>
      <c r="G72"/>
      <c r="H72" s="109">
        <v>5</v>
      </c>
      <c r="I72" s="109">
        <f t="shared" si="10"/>
        <v>5</v>
      </c>
      <c r="J72" s="109">
        <f t="shared" si="10"/>
        <v>5</v>
      </c>
      <c r="K72" s="109">
        <f t="shared" si="10"/>
        <v>5</v>
      </c>
      <c r="L72" s="109">
        <f t="shared" si="10"/>
        <v>5</v>
      </c>
      <c r="M72" s="109">
        <f t="shared" si="10"/>
        <v>5</v>
      </c>
      <c r="N72" s="109">
        <f t="shared" si="10"/>
        <v>5</v>
      </c>
      <c r="O72" s="109">
        <f t="shared" si="10"/>
        <v>5</v>
      </c>
      <c r="P72" s="109">
        <f t="shared" si="10"/>
        <v>5</v>
      </c>
      <c r="Q72" s="66"/>
    </row>
    <row r="73" spans="1:17" s="9" customFormat="1" ht="15" customHeight="1">
      <c r="A73" s="2"/>
      <c r="B73" s="108"/>
      <c r="C73" s="92" t="s">
        <v>158</v>
      </c>
      <c r="D73" s="110"/>
      <c r="E73" s="110"/>
      <c r="F73" s="111"/>
      <c r="G73"/>
      <c r="H73" s="112">
        <v>1.4999999999999999E-2</v>
      </c>
      <c r="I73" s="112">
        <f t="shared" ref="I73:O76" si="11">H73</f>
        <v>1.4999999999999999E-2</v>
      </c>
      <c r="J73" s="112">
        <f t="shared" si="11"/>
        <v>1.4999999999999999E-2</v>
      </c>
      <c r="K73" s="112">
        <f t="shared" si="11"/>
        <v>1.4999999999999999E-2</v>
      </c>
      <c r="L73" s="112">
        <f t="shared" si="11"/>
        <v>1.4999999999999999E-2</v>
      </c>
      <c r="M73" s="112">
        <f t="shared" si="11"/>
        <v>1.4999999999999999E-2</v>
      </c>
      <c r="N73" s="112">
        <f t="shared" si="11"/>
        <v>1.4999999999999999E-2</v>
      </c>
      <c r="O73" s="112">
        <f t="shared" si="11"/>
        <v>1.4999999999999999E-2</v>
      </c>
      <c r="P73" s="112">
        <f t="array" ref="P73">INDEX(H73:O73,MATCH($P$115&amp;$P$116,$H$113:$O$113&amp;$H$115:$O$115,0))</f>
        <v>1.4999999999999999E-2</v>
      </c>
      <c r="Q73" s="66"/>
    </row>
    <row r="74" spans="1:17" s="9" customFormat="1" ht="15" customHeight="1">
      <c r="A74" s="2"/>
      <c r="B74" s="108"/>
      <c r="C74" s="92" t="s">
        <v>159</v>
      </c>
      <c r="D74" s="113"/>
      <c r="E74" s="113"/>
      <c r="F74" s="114"/>
      <c r="G74"/>
      <c r="H74" s="115">
        <v>2.96</v>
      </c>
      <c r="I74" s="115">
        <f t="shared" si="11"/>
        <v>2.96</v>
      </c>
      <c r="J74" s="115">
        <f t="shared" si="11"/>
        <v>2.96</v>
      </c>
      <c r="K74" s="115">
        <f t="shared" si="11"/>
        <v>2.96</v>
      </c>
      <c r="L74" s="115">
        <f t="shared" si="11"/>
        <v>2.96</v>
      </c>
      <c r="M74" s="115">
        <f t="shared" si="11"/>
        <v>2.96</v>
      </c>
      <c r="N74" s="115">
        <f t="shared" si="11"/>
        <v>2.96</v>
      </c>
      <c r="O74" s="115">
        <f t="shared" si="11"/>
        <v>2.96</v>
      </c>
      <c r="P74" s="115">
        <f>O74</f>
        <v>2.96</v>
      </c>
      <c r="Q74" s="66"/>
    </row>
    <row r="75" spans="1:17" s="9" customFormat="1" ht="15" customHeight="1">
      <c r="A75" s="2"/>
      <c r="B75" s="108"/>
      <c r="C75" s="92" t="s">
        <v>160</v>
      </c>
      <c r="D75" s="96"/>
      <c r="E75" s="96"/>
      <c r="F75" s="97"/>
      <c r="G75"/>
      <c r="H75" s="109">
        <v>5</v>
      </c>
      <c r="I75" s="109">
        <f t="shared" si="11"/>
        <v>5</v>
      </c>
      <c r="J75" s="109">
        <f t="shared" si="11"/>
        <v>5</v>
      </c>
      <c r="K75" s="109">
        <f t="shared" si="11"/>
        <v>5</v>
      </c>
      <c r="L75" s="109">
        <f t="shared" si="11"/>
        <v>5</v>
      </c>
      <c r="M75" s="109">
        <f t="shared" si="11"/>
        <v>5</v>
      </c>
      <c r="N75" s="109">
        <f t="shared" si="11"/>
        <v>5</v>
      </c>
      <c r="O75" s="109">
        <f t="shared" si="11"/>
        <v>5</v>
      </c>
      <c r="P75" s="109">
        <f>O75</f>
        <v>5</v>
      </c>
      <c r="Q75" s="66"/>
    </row>
    <row r="76" spans="1:17" s="9" customFormat="1" ht="15" customHeight="1">
      <c r="A76" s="2"/>
      <c r="B76" s="108"/>
      <c r="C76" s="92" t="s">
        <v>161</v>
      </c>
      <c r="D76" s="110"/>
      <c r="E76" s="110"/>
      <c r="F76" s="111"/>
      <c r="G76"/>
      <c r="H76" s="112">
        <v>0.02</v>
      </c>
      <c r="I76" s="112">
        <f t="shared" si="11"/>
        <v>0.02</v>
      </c>
      <c r="J76" s="112">
        <f t="shared" si="11"/>
        <v>0.02</v>
      </c>
      <c r="K76" s="112">
        <f t="shared" si="11"/>
        <v>0.02</v>
      </c>
      <c r="L76" s="112">
        <f t="shared" si="11"/>
        <v>0.02</v>
      </c>
      <c r="M76" s="112">
        <f t="shared" si="11"/>
        <v>0.02</v>
      </c>
      <c r="N76" s="112">
        <f t="shared" si="11"/>
        <v>0.02</v>
      </c>
      <c r="O76" s="112">
        <f t="shared" si="11"/>
        <v>0.02</v>
      </c>
      <c r="P76" s="112">
        <f t="array" ref="P76">INDEX(H76:O76,MATCH($P$115&amp;$P$116,$H$113:$O$113&amp;$H$115:$O$115,0))</f>
        <v>0.02</v>
      </c>
      <c r="Q76" s="66"/>
    </row>
    <row r="77" spans="1:17" s="9" customFormat="1" ht="14.25" customHeight="1">
      <c r="A77" s="2"/>
      <c r="B77" s="108"/>
      <c r="C77" s="92" t="s">
        <v>162</v>
      </c>
      <c r="D77" s="116" t="s">
        <v>163</v>
      </c>
      <c r="E77" s="117"/>
      <c r="F77" s="118"/>
      <c r="G77"/>
      <c r="H77" s="65">
        <v>6.1000000000000004E-3</v>
      </c>
      <c r="I77" s="65">
        <f>I76*(4/12/12)</f>
        <v>5.5555555555555556E-4</v>
      </c>
      <c r="J77" s="65">
        <f>J76*(4/12/12)</f>
        <v>5.5555555555555556E-4</v>
      </c>
      <c r="K77" s="65">
        <f>J77</f>
        <v>5.5555555555555556E-4</v>
      </c>
      <c r="L77" s="65">
        <f>K77</f>
        <v>5.5555555555555556E-4</v>
      </c>
      <c r="M77" s="65">
        <f>L77</f>
        <v>5.5555555555555556E-4</v>
      </c>
      <c r="N77" s="65">
        <f>M77</f>
        <v>5.5555555555555556E-4</v>
      </c>
      <c r="O77" s="65">
        <f>N77</f>
        <v>5.5555555555555556E-4</v>
      </c>
      <c r="P77" s="65">
        <f t="array" ref="P77">INDEX(H77:O77,MATCH($P$115&amp;$P$116,$H$113:$O$113&amp;$H$115:$O$115,0))</f>
        <v>6.1000000000000004E-3</v>
      </c>
      <c r="Q77" s="66"/>
    </row>
    <row r="78" spans="1:17" s="9" customFormat="1" ht="3.75" customHeight="1">
      <c r="B78" s="119"/>
      <c r="C78" s="120"/>
      <c r="D78" s="121"/>
      <c r="E78" s="121"/>
      <c r="F78" s="122"/>
      <c r="G78"/>
      <c r="H78" s="102"/>
      <c r="I78" s="102"/>
      <c r="J78" s="102"/>
      <c r="K78" s="102"/>
      <c r="L78" s="102"/>
      <c r="M78" s="102"/>
      <c r="N78" s="102"/>
      <c r="O78" s="102"/>
      <c r="P78" s="102"/>
    </row>
    <row r="79" spans="1:17" s="60" customFormat="1" ht="35.25" customHeight="1">
      <c r="B79" s="56"/>
      <c r="C79" s="659" t="s">
        <v>164</v>
      </c>
      <c r="D79" s="659"/>
      <c r="E79" s="659"/>
      <c r="F79" s="659"/>
      <c r="G79" s="28"/>
      <c r="H79" s="56"/>
      <c r="I79" s="57"/>
      <c r="J79" s="57"/>
      <c r="K79" s="57"/>
      <c r="L79" s="57"/>
      <c r="M79" s="57"/>
      <c r="N79" s="57"/>
      <c r="O79" s="57"/>
      <c r="P79" s="58"/>
    </row>
    <row r="80" spans="1:17" s="9" customFormat="1" ht="70.5" customHeight="1">
      <c r="A80" s="2"/>
      <c r="B80" s="10" t="s">
        <v>35</v>
      </c>
      <c r="C80" s="11" t="s">
        <v>165</v>
      </c>
      <c r="D80" s="87" t="s">
        <v>166</v>
      </c>
      <c r="E80" s="35" t="s">
        <v>167</v>
      </c>
      <c r="F80" s="123" t="s">
        <v>168</v>
      </c>
      <c r="G80"/>
      <c r="H80" s="103">
        <v>9.0899999999999995E-2</v>
      </c>
      <c r="I80" s="65">
        <f t="shared" ref="I80:P80" si="12">H$80</f>
        <v>9.0899999999999995E-2</v>
      </c>
      <c r="J80" s="65">
        <f t="shared" si="12"/>
        <v>9.0899999999999995E-2</v>
      </c>
      <c r="K80" s="65">
        <f t="shared" si="12"/>
        <v>9.0899999999999995E-2</v>
      </c>
      <c r="L80" s="65">
        <f t="shared" si="12"/>
        <v>9.0899999999999995E-2</v>
      </c>
      <c r="M80" s="65">
        <f t="shared" si="12"/>
        <v>9.0899999999999995E-2</v>
      </c>
      <c r="N80" s="65">
        <f t="shared" si="12"/>
        <v>9.0899999999999995E-2</v>
      </c>
      <c r="O80" s="65">
        <f t="shared" si="12"/>
        <v>9.0899999999999995E-2</v>
      </c>
      <c r="P80" s="65">
        <f t="shared" si="12"/>
        <v>9.0899999999999995E-2</v>
      </c>
      <c r="Q80" s="66"/>
    </row>
    <row r="81" spans="1:17" s="9" customFormat="1" ht="30.75" customHeight="1">
      <c r="A81" s="2"/>
      <c r="B81" s="10" t="s">
        <v>37</v>
      </c>
      <c r="C81" s="11" t="s">
        <v>169</v>
      </c>
      <c r="D81" s="87" t="s">
        <v>170</v>
      </c>
      <c r="E81" s="35" t="s">
        <v>171</v>
      </c>
      <c r="F81" s="35" t="s">
        <v>172</v>
      </c>
      <c r="G81"/>
      <c r="H81" s="112">
        <f>(H71/$D$4)/$D$7</f>
        <v>1.3888888888888888E-2</v>
      </c>
      <c r="I81" s="65">
        <f t="shared" ref="I81:P81" si="13">H$81</f>
        <v>1.3888888888888888E-2</v>
      </c>
      <c r="J81" s="65">
        <f t="shared" si="13"/>
        <v>1.3888888888888888E-2</v>
      </c>
      <c r="K81" s="65">
        <f t="shared" si="13"/>
        <v>1.3888888888888888E-2</v>
      </c>
      <c r="L81" s="65">
        <f t="shared" si="13"/>
        <v>1.3888888888888888E-2</v>
      </c>
      <c r="M81" s="65">
        <f t="shared" si="13"/>
        <v>1.3888888888888888E-2</v>
      </c>
      <c r="N81" s="65">
        <f t="shared" si="13"/>
        <v>1.3888888888888888E-2</v>
      </c>
      <c r="O81" s="65">
        <f t="shared" si="13"/>
        <v>1.3888888888888888E-2</v>
      </c>
      <c r="P81" s="65">
        <f t="shared" si="13"/>
        <v>1.3888888888888888E-2</v>
      </c>
      <c r="Q81" s="66"/>
    </row>
    <row r="82" spans="1:17" s="9" customFormat="1" ht="29.25" customHeight="1">
      <c r="A82" s="2"/>
      <c r="B82" s="10" t="s">
        <v>39</v>
      </c>
      <c r="C82" s="11" t="s">
        <v>173</v>
      </c>
      <c r="D82" s="87" t="s">
        <v>174</v>
      </c>
      <c r="E82" s="35" t="s">
        <v>175</v>
      </c>
      <c r="F82" s="35" t="s">
        <v>176</v>
      </c>
      <c r="G82"/>
      <c r="H82" s="112">
        <f>((H72/$D$4)/$D$7*H73)</f>
        <v>2.0833333333333332E-4</v>
      </c>
      <c r="I82" s="65">
        <f t="shared" ref="I82:P82" si="14">H$82</f>
        <v>2.0833333333333332E-4</v>
      </c>
      <c r="J82" s="65">
        <f t="shared" si="14"/>
        <v>2.0833333333333332E-4</v>
      </c>
      <c r="K82" s="65">
        <f t="shared" si="14"/>
        <v>2.0833333333333332E-4</v>
      </c>
      <c r="L82" s="65">
        <f t="shared" si="14"/>
        <v>2.0833333333333332E-4</v>
      </c>
      <c r="M82" s="65">
        <f t="shared" si="14"/>
        <v>2.0833333333333332E-4</v>
      </c>
      <c r="N82" s="65">
        <f t="shared" si="14"/>
        <v>2.0833333333333332E-4</v>
      </c>
      <c r="O82" s="65">
        <f t="shared" si="14"/>
        <v>2.0833333333333332E-4</v>
      </c>
      <c r="P82" s="65">
        <f t="shared" si="14"/>
        <v>2.0833333333333332E-4</v>
      </c>
      <c r="Q82" s="66"/>
    </row>
    <row r="83" spans="1:17" s="9" customFormat="1" ht="26.25" customHeight="1">
      <c r="A83" s="2"/>
      <c r="B83" s="10" t="s">
        <v>41</v>
      </c>
      <c r="C83" s="11" t="s">
        <v>177</v>
      </c>
      <c r="D83" s="87" t="s">
        <v>178</v>
      </c>
      <c r="E83" s="35" t="s">
        <v>179</v>
      </c>
      <c r="F83" s="35" t="s">
        <v>180</v>
      </c>
      <c r="G83"/>
      <c r="H83" s="112">
        <f>H74/$D$4/$D$7</f>
        <v>8.2222222222222228E-3</v>
      </c>
      <c r="I83" s="65">
        <f t="shared" ref="I83:P83" si="15">H$83</f>
        <v>8.2222222222222228E-3</v>
      </c>
      <c r="J83" s="65">
        <f t="shared" si="15"/>
        <v>8.2222222222222228E-3</v>
      </c>
      <c r="K83" s="65">
        <f t="shared" si="15"/>
        <v>8.2222222222222228E-3</v>
      </c>
      <c r="L83" s="65">
        <f t="shared" si="15"/>
        <v>8.2222222222222228E-3</v>
      </c>
      <c r="M83" s="65">
        <f t="shared" si="15"/>
        <v>8.2222222222222228E-3</v>
      </c>
      <c r="N83" s="65">
        <f t="shared" si="15"/>
        <v>8.2222222222222228E-3</v>
      </c>
      <c r="O83" s="65">
        <f t="shared" si="15"/>
        <v>8.2222222222222228E-3</v>
      </c>
      <c r="P83" s="65">
        <f t="shared" si="15"/>
        <v>8.2222222222222228E-3</v>
      </c>
      <c r="Q83" s="66"/>
    </row>
    <row r="84" spans="1:17" s="9" customFormat="1" ht="33" customHeight="1">
      <c r="A84" s="2"/>
      <c r="B84" s="10" t="s">
        <v>44</v>
      </c>
      <c r="C84" s="124" t="s">
        <v>181</v>
      </c>
      <c r="D84" s="87" t="s">
        <v>182</v>
      </c>
      <c r="E84" s="35" t="s">
        <v>183</v>
      </c>
      <c r="F84" s="35" t="s">
        <v>184</v>
      </c>
      <c r="G84"/>
      <c r="H84" s="112">
        <f>(5/30)/12</f>
        <v>1.3888888888888888E-2</v>
      </c>
      <c r="I84" s="65">
        <f t="shared" ref="I84:P84" si="16">H$84</f>
        <v>1.3888888888888888E-2</v>
      </c>
      <c r="J84" s="65">
        <f t="shared" si="16"/>
        <v>1.3888888888888888E-2</v>
      </c>
      <c r="K84" s="65">
        <f t="shared" si="16"/>
        <v>1.3888888888888888E-2</v>
      </c>
      <c r="L84" s="65">
        <f t="shared" si="16"/>
        <v>1.3888888888888888E-2</v>
      </c>
      <c r="M84" s="65">
        <f t="shared" si="16"/>
        <v>1.3888888888888888E-2</v>
      </c>
      <c r="N84" s="65">
        <f t="shared" si="16"/>
        <v>1.3888888888888888E-2</v>
      </c>
      <c r="O84" s="65">
        <f t="shared" si="16"/>
        <v>1.3888888888888888E-2</v>
      </c>
      <c r="P84" s="65">
        <f t="shared" si="16"/>
        <v>1.3888888888888888E-2</v>
      </c>
      <c r="Q84" s="66"/>
    </row>
    <row r="85" spans="1:17" s="9" customFormat="1" ht="45.75" customHeight="1">
      <c r="A85" s="2"/>
      <c r="B85" s="10" t="s">
        <v>46</v>
      </c>
      <c r="C85" s="11" t="s">
        <v>185</v>
      </c>
      <c r="D85" s="87" t="s">
        <v>186</v>
      </c>
      <c r="E85" s="35" t="s">
        <v>187</v>
      </c>
      <c r="F85" s="35" t="s">
        <v>188</v>
      </c>
      <c r="G85"/>
      <c r="H85" s="112">
        <f>((1/12)+((1/3)*(1/12)))*H77</f>
        <v>6.777777777777778E-4</v>
      </c>
      <c r="I85" s="65">
        <f t="shared" ref="I85:P85" si="17">H$85</f>
        <v>6.777777777777778E-4</v>
      </c>
      <c r="J85" s="65">
        <f t="shared" si="17"/>
        <v>6.777777777777778E-4</v>
      </c>
      <c r="K85" s="65">
        <f t="shared" si="17"/>
        <v>6.777777777777778E-4</v>
      </c>
      <c r="L85" s="65">
        <f t="shared" si="17"/>
        <v>6.777777777777778E-4</v>
      </c>
      <c r="M85" s="65">
        <f t="shared" si="17"/>
        <v>6.777777777777778E-4</v>
      </c>
      <c r="N85" s="65">
        <f t="shared" si="17"/>
        <v>6.777777777777778E-4</v>
      </c>
      <c r="O85" s="65">
        <f t="shared" si="17"/>
        <v>6.777777777777778E-4</v>
      </c>
      <c r="P85" s="65">
        <f t="shared" si="17"/>
        <v>6.777777777777778E-4</v>
      </c>
      <c r="Q85" s="66"/>
    </row>
    <row r="86" spans="1:17" s="9" customFormat="1" ht="28.5" customHeight="1">
      <c r="A86" s="2"/>
      <c r="B86" s="10" t="s">
        <v>48</v>
      </c>
      <c r="C86" s="11" t="s">
        <v>189</v>
      </c>
      <c r="D86" s="87" t="s">
        <v>190</v>
      </c>
      <c r="E86" s="35"/>
      <c r="F86" s="35"/>
      <c r="G86"/>
      <c r="H86" s="125">
        <f t="array" ref="H86:H90">(H81:H85)*H39</f>
        <v>5.1111111111111123E-3</v>
      </c>
      <c r="I86" s="125">
        <f t="array" ref="I86:I90">(I81:I85)*I39</f>
        <v>5.1111111111111123E-3</v>
      </c>
      <c r="J86" s="125">
        <f t="array" ref="J86:J90">(J81:J85)*J39</f>
        <v>4.3055555555555564E-3</v>
      </c>
      <c r="K86" s="125">
        <f t="array" ref="K86:K90">(K81:K85)*K39</f>
        <v>4.3055555555555564E-3</v>
      </c>
      <c r="L86" s="125">
        <f t="array" ref="L86:L90">(L81:L85)*L39</f>
        <v>4.3055555555555564E-3</v>
      </c>
      <c r="M86" s="125">
        <f t="array" ref="M86:M90">(M81:M85)*M39</f>
        <v>4.3055555555555564E-3</v>
      </c>
      <c r="N86" s="125">
        <f t="array" ref="N86:N90">(N81:N85)*N39</f>
        <v>4.3055555555555564E-3</v>
      </c>
      <c r="O86" s="125">
        <f t="array" ref="O86:O90">(O81:O85)*O39</f>
        <v>4.3055555555555564E-3</v>
      </c>
      <c r="P86" s="125">
        <f t="array" ref="P86:P90">(P81:P85)*P39</f>
        <v>5.1111111111111123E-3</v>
      </c>
      <c r="Q86" s="66"/>
    </row>
    <row r="87" spans="1:17">
      <c r="H87" s="36">
        <v>7.6666666666666683E-5</v>
      </c>
      <c r="I87" s="36">
        <v>7.6666666666666683E-5</v>
      </c>
      <c r="J87" s="36">
        <v>6.4583333333333336E-5</v>
      </c>
      <c r="K87" s="36">
        <v>6.4583333333333336E-5</v>
      </c>
      <c r="L87" s="36">
        <v>6.4583333333333336E-5</v>
      </c>
      <c r="M87" s="36">
        <v>6.4583333333333336E-5</v>
      </c>
      <c r="N87" s="36">
        <v>6.4583333333333336E-5</v>
      </c>
      <c r="O87" s="36">
        <v>6.4583333333333336E-5</v>
      </c>
      <c r="P87" s="36">
        <v>7.6666666666666683E-5</v>
      </c>
    </row>
    <row r="88" spans="1:17" s="60" customFormat="1" ht="15" customHeight="1">
      <c r="B88" s="56"/>
      <c r="C88" s="54" t="s">
        <v>191</v>
      </c>
      <c r="D88" s="54"/>
      <c r="E88" s="54"/>
      <c r="F88" s="55"/>
      <c r="G88" s="28"/>
      <c r="H88" s="56">
        <v>3.0257777777777787E-3</v>
      </c>
      <c r="I88" s="57">
        <v>3.0257777777777787E-3</v>
      </c>
      <c r="J88" s="57">
        <v>2.5488888888888896E-3</v>
      </c>
      <c r="K88" s="57">
        <v>2.5488888888888896E-3</v>
      </c>
      <c r="L88" s="57">
        <v>2.5488888888888896E-3</v>
      </c>
      <c r="M88" s="57">
        <v>2.5488888888888896E-3</v>
      </c>
      <c r="N88" s="57">
        <v>2.5488888888888896E-3</v>
      </c>
      <c r="O88" s="57">
        <v>2.5488888888888896E-3</v>
      </c>
      <c r="P88" s="58">
        <v>3.0257777777777787E-3</v>
      </c>
    </row>
    <row r="89" spans="1:17" s="9" customFormat="1" ht="66.75" customHeight="1">
      <c r="B89" s="32" t="s">
        <v>35</v>
      </c>
      <c r="C89" s="33" t="s">
        <v>192</v>
      </c>
      <c r="D89" s="87" t="s">
        <v>193</v>
      </c>
      <c r="E89" s="35" t="s">
        <v>194</v>
      </c>
      <c r="F89" s="35" t="s">
        <v>195</v>
      </c>
      <c r="G89"/>
      <c r="H89" s="126">
        <v>5.1111111111111123E-3</v>
      </c>
      <c r="I89" s="126">
        <v>5.1111111111111123E-3</v>
      </c>
      <c r="J89" s="126">
        <v>4.3055555555555564E-3</v>
      </c>
      <c r="K89" s="126">
        <v>4.3055555555555564E-3</v>
      </c>
      <c r="L89" s="126">
        <v>4.3055555555555564E-3</v>
      </c>
      <c r="M89" s="126">
        <v>4.3055555555555564E-3</v>
      </c>
      <c r="N89" s="126">
        <v>4.3055555555555564E-3</v>
      </c>
      <c r="O89" s="126">
        <v>4.3055555555555564E-3</v>
      </c>
      <c r="P89" s="127">
        <v>5.1111111111111123E-3</v>
      </c>
      <c r="Q89" s="66"/>
    </row>
    <row r="90" spans="1:17" s="9" customFormat="1" ht="45" customHeight="1">
      <c r="B90" s="32" t="s">
        <v>37</v>
      </c>
      <c r="C90" s="33" t="s">
        <v>196</v>
      </c>
      <c r="D90" s="87" t="s">
        <v>197</v>
      </c>
      <c r="E90" s="35" t="s">
        <v>194</v>
      </c>
      <c r="F90" s="35" t="s">
        <v>198</v>
      </c>
      <c r="G90"/>
      <c r="H90" s="126">
        <v>2.494222222222223E-4</v>
      </c>
      <c r="I90" s="126">
        <v>2.494222222222223E-4</v>
      </c>
      <c r="J90" s="126">
        <v>2.1011111111111116E-4</v>
      </c>
      <c r="K90" s="126">
        <v>2.1011111111111116E-4</v>
      </c>
      <c r="L90" s="126">
        <v>2.1011111111111116E-4</v>
      </c>
      <c r="M90" s="126">
        <v>2.1011111111111116E-4</v>
      </c>
      <c r="N90" s="126">
        <v>2.1011111111111116E-4</v>
      </c>
      <c r="O90" s="126">
        <v>2.1011111111111116E-4</v>
      </c>
      <c r="P90" s="127">
        <v>2.494222222222223E-4</v>
      </c>
      <c r="Q90" s="66"/>
    </row>
    <row r="91" spans="1:17" s="9" customFormat="1" ht="15" customHeight="1">
      <c r="B91" s="128"/>
      <c r="C91" s="129"/>
      <c r="D91" s="130"/>
      <c r="E91" s="131"/>
      <c r="F91" s="132"/>
      <c r="G91"/>
      <c r="H91" s="36"/>
      <c r="I91" s="36"/>
      <c r="J91" s="36"/>
      <c r="K91" s="36"/>
      <c r="L91" s="36"/>
      <c r="M91" s="36"/>
      <c r="N91" s="36"/>
      <c r="O91" s="36"/>
      <c r="P91" s="36"/>
    </row>
    <row r="92" spans="1:17" s="9" customFormat="1" ht="15" customHeight="1">
      <c r="B92" s="128"/>
      <c r="C92" s="129"/>
      <c r="D92" s="130"/>
      <c r="E92" s="131"/>
      <c r="F92" s="132"/>
      <c r="G92"/>
      <c r="H92" s="133"/>
      <c r="I92" s="133"/>
      <c r="J92" s="133"/>
      <c r="K92" s="133"/>
      <c r="L92" s="133"/>
      <c r="M92" s="133"/>
      <c r="N92" s="133"/>
      <c r="O92" s="133"/>
      <c r="P92" s="134"/>
      <c r="Q92" s="66"/>
    </row>
    <row r="93" spans="1:17" s="28" customFormat="1" ht="15" customHeight="1">
      <c r="B93" s="41"/>
      <c r="C93" s="29" t="s">
        <v>199</v>
      </c>
      <c r="D93" s="29"/>
      <c r="E93" s="29"/>
      <c r="F93" s="30"/>
      <c r="H93" s="41"/>
      <c r="I93" s="42"/>
      <c r="J93" s="42"/>
      <c r="K93" s="42"/>
      <c r="L93" s="42"/>
      <c r="M93" s="42"/>
      <c r="N93" s="42"/>
      <c r="O93" s="42"/>
      <c r="P93" s="43"/>
    </row>
    <row r="94" spans="1:17" s="28" customFormat="1" ht="3.75" customHeight="1">
      <c r="F94" s="135"/>
      <c r="H94" s="136"/>
      <c r="I94" s="136"/>
      <c r="J94" s="136"/>
      <c r="K94" s="136"/>
      <c r="L94" s="136"/>
      <c r="M94" s="136"/>
      <c r="N94" s="136"/>
      <c r="O94" s="136"/>
      <c r="P94" s="136"/>
    </row>
    <row r="95" spans="1:17" s="60" customFormat="1" ht="15" customHeight="1">
      <c r="B95" s="56"/>
      <c r="C95" s="54" t="s">
        <v>200</v>
      </c>
      <c r="D95" s="54"/>
      <c r="E95" s="54"/>
      <c r="F95" s="55"/>
      <c r="G95" s="28"/>
      <c r="H95" s="56"/>
      <c r="I95" s="57"/>
      <c r="J95" s="57"/>
      <c r="K95" s="57"/>
      <c r="L95" s="57"/>
      <c r="M95" s="57"/>
      <c r="N95" s="57"/>
      <c r="O95" s="57"/>
      <c r="P95" s="58"/>
    </row>
    <row r="96" spans="1:17" s="9" customFormat="1" ht="59.25" customHeight="1">
      <c r="A96" s="2"/>
      <c r="B96" s="10" t="s">
        <v>35</v>
      </c>
      <c r="C96" s="11" t="s">
        <v>201</v>
      </c>
      <c r="D96" s="137"/>
      <c r="E96" s="137"/>
      <c r="F96" s="35" t="s">
        <v>202</v>
      </c>
      <c r="G96"/>
      <c r="H96" s="112">
        <v>0.05</v>
      </c>
      <c r="I96" s="65">
        <f t="shared" ref="I96:O97" si="18">H96</f>
        <v>0.05</v>
      </c>
      <c r="J96" s="65">
        <f t="shared" si="18"/>
        <v>0.05</v>
      </c>
      <c r="K96" s="65">
        <f t="shared" si="18"/>
        <v>0.05</v>
      </c>
      <c r="L96" s="65">
        <f t="shared" si="18"/>
        <v>0.05</v>
      </c>
      <c r="M96" s="65">
        <f t="shared" si="18"/>
        <v>0.05</v>
      </c>
      <c r="N96" s="65">
        <f t="shared" si="18"/>
        <v>0.05</v>
      </c>
      <c r="O96" s="65">
        <f t="shared" si="18"/>
        <v>0.05</v>
      </c>
      <c r="P96" s="65">
        <f t="array" ref="P96">INDEX(H96:O96,MATCH($P$115&amp;$P$116,$H$113:$O$113&amp;$H$115:$O$115,0))</f>
        <v>0.05</v>
      </c>
      <c r="Q96" s="66"/>
    </row>
    <row r="97" spans="1:17" s="9" customFormat="1" ht="43.5" customHeight="1">
      <c r="A97" s="2"/>
      <c r="B97" s="10" t="s">
        <v>37</v>
      </c>
      <c r="C97" s="11" t="s">
        <v>203</v>
      </c>
      <c r="D97" s="137"/>
      <c r="E97" s="137"/>
      <c r="F97" s="35" t="s">
        <v>204</v>
      </c>
      <c r="G97"/>
      <c r="H97" s="112">
        <v>0.1</v>
      </c>
      <c r="I97" s="65">
        <f t="shared" si="18"/>
        <v>0.1</v>
      </c>
      <c r="J97" s="65">
        <f t="shared" si="18"/>
        <v>0.1</v>
      </c>
      <c r="K97" s="65">
        <f t="shared" si="18"/>
        <v>0.1</v>
      </c>
      <c r="L97" s="65">
        <f t="shared" si="18"/>
        <v>0.1</v>
      </c>
      <c r="M97" s="65">
        <f t="shared" si="18"/>
        <v>0.1</v>
      </c>
      <c r="N97" s="65">
        <f t="shared" si="18"/>
        <v>0.1</v>
      </c>
      <c r="O97" s="65">
        <f t="shared" si="18"/>
        <v>0.1</v>
      </c>
      <c r="P97" s="65">
        <f t="array" ref="P97">INDEX(H97:O97,MATCH($P$115&amp;$P$116,$H$113:$O$113&amp;$H$115:$O$115,0))</f>
        <v>0.1</v>
      </c>
      <c r="Q97" s="66"/>
    </row>
    <row r="98" spans="1:17" ht="28.5" customHeight="1">
      <c r="D98" s="138"/>
      <c r="E98" s="138"/>
      <c r="F98" s="138"/>
      <c r="H98" s="36"/>
      <c r="I98" s="36"/>
      <c r="J98" s="36"/>
      <c r="K98" s="36"/>
      <c r="L98" s="36"/>
      <c r="M98" s="36"/>
      <c r="N98" s="36"/>
      <c r="O98" s="36"/>
      <c r="P98" s="36"/>
    </row>
    <row r="99" spans="1:17" ht="31.5" customHeight="1">
      <c r="D99" s="138"/>
      <c r="E99" s="138"/>
      <c r="F99" s="138"/>
      <c r="H99" s="36"/>
      <c r="I99" s="36"/>
      <c r="J99" s="36"/>
      <c r="K99" s="36"/>
      <c r="L99" s="36"/>
      <c r="M99" s="36"/>
      <c r="N99" s="36"/>
      <c r="O99" s="36"/>
      <c r="P99" s="36"/>
    </row>
    <row r="100" spans="1:17" s="60" customFormat="1" ht="15" customHeight="1">
      <c r="B100" s="56"/>
      <c r="C100" s="54" t="s">
        <v>205</v>
      </c>
      <c r="D100" s="139" t="s">
        <v>206</v>
      </c>
      <c r="E100" s="139" t="s">
        <v>207</v>
      </c>
      <c r="F100" s="140"/>
      <c r="G100" s="28"/>
      <c r="H100" s="56"/>
      <c r="I100" s="57"/>
      <c r="J100" s="57"/>
      <c r="K100" s="57"/>
      <c r="L100" s="57"/>
      <c r="M100" s="57"/>
      <c r="N100" s="57"/>
      <c r="O100" s="57"/>
      <c r="P100" s="58"/>
    </row>
    <row r="101" spans="1:17" s="60" customFormat="1" ht="25.5" customHeight="1">
      <c r="A101" s="52"/>
      <c r="B101" s="141"/>
      <c r="C101" s="142"/>
      <c r="D101" s="137"/>
      <c r="E101" s="143"/>
      <c r="F101" s="144"/>
      <c r="G101" s="28"/>
      <c r="H101" s="145" t="s">
        <v>208</v>
      </c>
      <c r="I101" s="145" t="s">
        <v>76</v>
      </c>
      <c r="J101" s="660" t="s">
        <v>77</v>
      </c>
      <c r="K101" s="660"/>
      <c r="L101" s="660"/>
      <c r="M101" s="660"/>
      <c r="N101" s="660"/>
      <c r="O101" s="660"/>
      <c r="P101" s="660"/>
      <c r="Q101" s="59"/>
    </row>
    <row r="102" spans="1:17" s="9" customFormat="1" ht="60.75" customHeight="1">
      <c r="A102" s="2"/>
      <c r="B102" s="32" t="s">
        <v>35</v>
      </c>
      <c r="C102" s="33" t="s">
        <v>209</v>
      </c>
      <c r="E102" s="661" t="s">
        <v>210</v>
      </c>
      <c r="F102" s="35" t="s">
        <v>211</v>
      </c>
      <c r="G102"/>
      <c r="H102" s="65">
        <v>0.03</v>
      </c>
      <c r="I102" s="112">
        <v>7.5999999999999998E-2</v>
      </c>
      <c r="J102" s="146">
        <f t="shared" ref="J102:O102" si="19">((((J114*J116)-J115)/J114)*J119)</f>
        <v>7.9515000000000002E-3</v>
      </c>
      <c r="K102" s="146">
        <f t="shared" si="19"/>
        <v>1.387125E-2</v>
      </c>
      <c r="L102" s="146">
        <f t="shared" si="19"/>
        <v>1.6721175000000001E-2</v>
      </c>
      <c r="M102" s="146">
        <f t="shared" si="19"/>
        <v>2.2283100000000004E-2</v>
      </c>
      <c r="N102" s="146">
        <f t="shared" si="19"/>
        <v>3.0546159999999996E-2</v>
      </c>
      <c r="O102" s="146">
        <f t="shared" si="19"/>
        <v>3.2366249999999999E-2</v>
      </c>
      <c r="P102" s="65">
        <f>IF('VALOR POSTOS MÊS '!$D$15&lt;='BASE APOIO-NOTAS EXPLICATIVAS '!$J$114,'BASE APOIO-NOTAS EXPLICATIVAS '!J102,IF('VALOR POSTOS MÊS '!$D$15&lt;='BASE APOIO-NOTAS EXPLICATIVAS '!$K$114,'BASE APOIO-NOTAS EXPLICATIVAS '!K102,IF('VALOR POSTOS MÊS '!$D$15&lt;='BASE APOIO-NOTAS EXPLICATIVAS '!$L$114,'BASE APOIO-NOTAS EXPLICATIVAS '!L102,IF('VALOR POSTOS MÊS '!$D$15&lt;='BASE APOIO-NOTAS EXPLICATIVAS '!$M$114,'BASE APOIO-NOTAS EXPLICATIVAS '!M102,IF('VALOR POSTOS MÊS '!$D$15&lt;='BASE APOIO-NOTAS EXPLICATIVAS '!$N$114,'BASE APOIO-NOTAS EXPLICATIVAS '!N102,IF('VALOR POSTOS MÊS '!$D$15&lt;='BASE APOIO-NOTAS EXPLICATIVAS '!$O$114,'BASE APOIO-NOTAS EXPLICATIVAS '!O102))))))</f>
        <v>7.9515000000000002E-3</v>
      </c>
      <c r="Q102" s="66"/>
    </row>
    <row r="103" spans="1:17" s="9" customFormat="1" ht="57" customHeight="1">
      <c r="A103" s="2"/>
      <c r="B103" s="32" t="s">
        <v>37</v>
      </c>
      <c r="C103" s="147" t="s">
        <v>212</v>
      </c>
      <c r="D103" s="148"/>
      <c r="E103" s="661"/>
      <c r="F103" s="35" t="s">
        <v>211</v>
      </c>
      <c r="G103"/>
      <c r="H103" s="65">
        <v>6.4999999999999997E-3</v>
      </c>
      <c r="I103" s="112">
        <v>1.6500000000000001E-2</v>
      </c>
      <c r="J103" s="146">
        <f t="shared" ref="J103:O103" si="20">((((J114*J116)-J115)/J114)*J120)</f>
        <v>1.7235E-3</v>
      </c>
      <c r="K103" s="146">
        <f t="shared" si="20"/>
        <v>3.0037499999999999E-3</v>
      </c>
      <c r="L103" s="146">
        <f t="shared" si="20"/>
        <v>3.6188250000000004E-3</v>
      </c>
      <c r="M103" s="146">
        <f t="shared" si="20"/>
        <v>4.8339000000000012E-3</v>
      </c>
      <c r="N103" s="146">
        <f t="shared" si="20"/>
        <v>6.6228399999999996E-3</v>
      </c>
      <c r="O103" s="146">
        <f t="shared" si="20"/>
        <v>7.0087499999999994E-3</v>
      </c>
      <c r="P103" s="65">
        <f>IF('VALOR POSTOS MÊS '!$D$15&lt;='BASE APOIO-NOTAS EXPLICATIVAS '!$J$114,'BASE APOIO-NOTAS EXPLICATIVAS '!J103,IF('VALOR POSTOS MÊS '!$D$15&lt;='BASE APOIO-NOTAS EXPLICATIVAS '!$K$114,'BASE APOIO-NOTAS EXPLICATIVAS '!K103,IF('VALOR POSTOS MÊS '!$D$15&lt;='BASE APOIO-NOTAS EXPLICATIVAS '!$L$114,'BASE APOIO-NOTAS EXPLICATIVAS '!L103,IF('VALOR POSTOS MÊS '!$D$15&lt;='BASE APOIO-NOTAS EXPLICATIVAS '!$M$114,'BASE APOIO-NOTAS EXPLICATIVAS '!M103,IF('VALOR POSTOS MÊS '!$D$15&lt;='BASE APOIO-NOTAS EXPLICATIVAS '!$N$114,'BASE APOIO-NOTAS EXPLICATIVAS '!N103,IF('VALOR POSTOS MÊS '!$D$15&lt;='BASE APOIO-NOTAS EXPLICATIVAS '!$O$114,'BASE APOIO-NOTAS EXPLICATIVAS '!O103))))))</f>
        <v>1.7235E-3</v>
      </c>
      <c r="Q103" s="66"/>
    </row>
    <row r="104" spans="1:17" s="9" customFormat="1" ht="54" customHeight="1">
      <c r="A104" s="2"/>
      <c r="B104" s="149" t="s">
        <v>39</v>
      </c>
      <c r="C104" s="33" t="s">
        <v>213</v>
      </c>
      <c r="D104" s="117"/>
      <c r="E104" s="150"/>
      <c r="F104" s="35" t="s">
        <v>211</v>
      </c>
      <c r="G104"/>
      <c r="H104" s="65">
        <v>0.05</v>
      </c>
      <c r="I104" s="112">
        <v>0.05</v>
      </c>
      <c r="J104" s="146">
        <f t="shared" ref="J104:O104" si="21">((((J114*J116)-J115)/J114)*J121)</f>
        <v>2.0025000000000001E-2</v>
      </c>
      <c r="K104" s="146">
        <f t="shared" si="21"/>
        <v>2.7000000000000003E-2</v>
      </c>
      <c r="L104" s="146">
        <f t="shared" si="21"/>
        <v>3.3900000000000007E-2</v>
      </c>
      <c r="M104" s="146">
        <f t="shared" si="21"/>
        <v>4.7160000000000007E-2</v>
      </c>
      <c r="N104" s="146">
        <f t="shared" si="21"/>
        <v>6.7580000000000001E-2</v>
      </c>
      <c r="O104" s="146">
        <f t="shared" si="21"/>
        <v>6.3E-2</v>
      </c>
      <c r="P104" s="112">
        <f>IF('VALOR POSTOS MÊS '!$D$15&lt;='BASE APOIO-NOTAS EXPLICATIVAS '!$J$114,'BASE APOIO-NOTAS EXPLICATIVAS '!J104,IF('VALOR POSTOS MÊS '!$D$15&lt;='BASE APOIO-NOTAS EXPLICATIVAS '!$K$114,'BASE APOIO-NOTAS EXPLICATIVAS '!K104,IF('VALOR POSTOS MÊS '!$D$15&lt;='BASE APOIO-NOTAS EXPLICATIVAS '!$L$114,'BASE APOIO-NOTAS EXPLICATIVAS '!L104,IF('VALOR POSTOS MÊS '!$D$15&lt;='BASE APOIO-NOTAS EXPLICATIVAS '!$M$114,'BASE APOIO-NOTAS EXPLICATIVAS '!M104,IF('VALOR POSTOS MÊS '!$D$15&lt;='BASE APOIO-NOTAS EXPLICATIVAS '!$N$114,'BASE APOIO-NOTAS EXPLICATIVAS '!N104,IF('VALOR POSTOS MÊS '!$D$15&lt;='BASE APOIO-NOTAS EXPLICATIVAS '!$O$114,'BASE APOIO-NOTAS EXPLICATIVAS '!O104))))))</f>
        <v>2.0025000000000001E-2</v>
      </c>
      <c r="Q104" s="66"/>
    </row>
    <row r="105" spans="1:17" s="9" customFormat="1" ht="54" customHeight="1">
      <c r="A105" s="2"/>
      <c r="B105" s="149" t="s">
        <v>41</v>
      </c>
      <c r="C105" s="33" t="s">
        <v>214</v>
      </c>
      <c r="D105" s="617" t="s">
        <v>215</v>
      </c>
      <c r="E105" s="150"/>
      <c r="F105" s="35" t="s">
        <v>216</v>
      </c>
      <c r="G105"/>
      <c r="H105" s="65"/>
      <c r="I105" s="112"/>
      <c r="J105" s="146"/>
      <c r="K105" s="146"/>
      <c r="L105" s="146"/>
      <c r="M105" s="146"/>
      <c r="N105" s="146"/>
      <c r="O105" s="146"/>
      <c r="P105" s="112"/>
      <c r="Q105" s="66"/>
    </row>
    <row r="106" spans="1:17" s="9" customFormat="1" ht="54" customHeight="1">
      <c r="A106" s="2"/>
      <c r="B106" s="149" t="s">
        <v>44</v>
      </c>
      <c r="C106" s="33" t="s">
        <v>217</v>
      </c>
      <c r="D106" s="617" t="s">
        <v>215</v>
      </c>
      <c r="E106" s="150"/>
      <c r="F106" s="35" t="s">
        <v>218</v>
      </c>
      <c r="G106"/>
      <c r="H106" s="65"/>
      <c r="I106" s="112"/>
      <c r="J106" s="146"/>
      <c r="K106" s="146"/>
      <c r="L106" s="146"/>
      <c r="M106" s="146"/>
      <c r="N106" s="146"/>
      <c r="O106" s="146"/>
      <c r="P106" s="112"/>
      <c r="Q106" s="66"/>
    </row>
    <row r="107" spans="1:17" s="9" customFormat="1" ht="54" customHeight="1">
      <c r="A107" s="2"/>
      <c r="B107" s="149" t="s">
        <v>46</v>
      </c>
      <c r="C107" s="151" t="s">
        <v>219</v>
      </c>
      <c r="D107" s="617" t="s">
        <v>215</v>
      </c>
      <c r="E107" s="150"/>
      <c r="F107" s="35" t="s">
        <v>220</v>
      </c>
      <c r="G107"/>
      <c r="H107" s="65"/>
      <c r="I107" s="112"/>
      <c r="J107" s="146"/>
      <c r="K107" s="146"/>
      <c r="L107" s="146"/>
      <c r="M107" s="146"/>
      <c r="N107" s="146"/>
      <c r="O107" s="146"/>
      <c r="P107" s="112"/>
      <c r="Q107" s="66"/>
    </row>
    <row r="108" spans="1:17" s="9" customFormat="1" ht="52.5" customHeight="1">
      <c r="B108" s="32" t="s">
        <v>48</v>
      </c>
      <c r="C108" s="151" t="s">
        <v>221</v>
      </c>
      <c r="D108" s="152"/>
      <c r="E108" s="137"/>
      <c r="F108" s="35"/>
      <c r="G108"/>
      <c r="H108" s="65"/>
      <c r="I108" s="65"/>
      <c r="J108" s="65"/>
      <c r="K108" s="65"/>
      <c r="L108" s="65"/>
      <c r="M108" s="65"/>
      <c r="N108" s="65"/>
      <c r="O108" s="65"/>
      <c r="P108" s="65"/>
    </row>
    <row r="109" spans="1:17" s="9" customFormat="1" ht="14.25" customHeight="1">
      <c r="B109" s="44"/>
      <c r="C109" s="84"/>
      <c r="D109" s="44"/>
      <c r="E109" s="44"/>
      <c r="F109" s="46"/>
      <c r="G109"/>
      <c r="H109" s="8"/>
      <c r="I109" s="8"/>
      <c r="J109" s="8"/>
      <c r="K109" s="8"/>
      <c r="L109" s="8"/>
      <c r="M109" s="8"/>
      <c r="N109" s="8"/>
      <c r="O109" s="8"/>
      <c r="P109" s="8"/>
    </row>
    <row r="111" spans="1:17" ht="15" customHeight="1">
      <c r="B111" s="662"/>
      <c r="C111" s="663"/>
      <c r="D111" s="664" t="s">
        <v>222</v>
      </c>
      <c r="E111" s="664" t="s">
        <v>223</v>
      </c>
      <c r="F111" s="665" t="s">
        <v>224</v>
      </c>
      <c r="H111" s="664" t="s">
        <v>225</v>
      </c>
      <c r="I111" s="664"/>
      <c r="J111" s="664"/>
      <c r="K111" s="664"/>
      <c r="L111" s="664"/>
      <c r="M111" s="664"/>
      <c r="N111" s="664"/>
      <c r="O111" s="664"/>
      <c r="P111" s="664"/>
    </row>
    <row r="112" spans="1:17" ht="38.25" customHeight="1">
      <c r="B112" s="662"/>
      <c r="C112" s="662"/>
      <c r="D112" s="662"/>
      <c r="E112" s="662"/>
      <c r="F112" s="662"/>
      <c r="H112" s="664" t="s">
        <v>2</v>
      </c>
      <c r="I112" s="664" t="s">
        <v>0</v>
      </c>
      <c r="J112" s="154" t="s">
        <v>226</v>
      </c>
      <c r="K112" s="153" t="s">
        <v>227</v>
      </c>
      <c r="L112" s="153" t="s">
        <v>227</v>
      </c>
      <c r="M112" s="153" t="s">
        <v>227</v>
      </c>
      <c r="N112" s="153" t="s">
        <v>227</v>
      </c>
      <c r="O112" s="153" t="s">
        <v>227</v>
      </c>
      <c r="P112" s="664" t="s">
        <v>228</v>
      </c>
    </row>
    <row r="113" spans="2:16">
      <c r="B113" s="662"/>
      <c r="C113" s="662"/>
      <c r="D113" s="662"/>
      <c r="E113" s="662"/>
      <c r="F113" s="662"/>
      <c r="H113" s="664"/>
      <c r="I113" s="664"/>
      <c r="J113" s="153" t="s">
        <v>229</v>
      </c>
      <c r="K113" s="153" t="s">
        <v>230</v>
      </c>
      <c r="L113" s="153" t="s">
        <v>231</v>
      </c>
      <c r="M113" s="153" t="s">
        <v>232</v>
      </c>
      <c r="N113" s="153" t="s">
        <v>233</v>
      </c>
      <c r="O113" s="153" t="s">
        <v>234</v>
      </c>
      <c r="P113" s="664"/>
    </row>
    <row r="114" spans="2:16">
      <c r="B114" s="155"/>
      <c r="C114" s="156" t="s">
        <v>235</v>
      </c>
      <c r="D114" s="157"/>
      <c r="E114" s="157"/>
      <c r="F114" s="158"/>
      <c r="H114" s="159"/>
      <c r="I114" s="160"/>
      <c r="J114" s="161">
        <v>180000</v>
      </c>
      <c r="K114" s="161">
        <v>360000</v>
      </c>
      <c r="L114" s="161">
        <v>720000</v>
      </c>
      <c r="M114" s="161">
        <v>1800000</v>
      </c>
      <c r="N114" s="161">
        <v>3600000</v>
      </c>
      <c r="O114" s="161">
        <v>4800000</v>
      </c>
      <c r="P114" s="162"/>
    </row>
    <row r="115" spans="2:16">
      <c r="B115" s="155"/>
      <c r="C115" s="156" t="s">
        <v>236</v>
      </c>
      <c r="D115" s="157"/>
      <c r="E115" s="157"/>
      <c r="F115" s="158"/>
      <c r="H115" s="159"/>
      <c r="I115" s="160"/>
      <c r="J115" s="161">
        <v>0</v>
      </c>
      <c r="K115" s="161">
        <v>8100</v>
      </c>
      <c r="L115" s="161">
        <v>12420</v>
      </c>
      <c r="M115" s="161">
        <v>39780</v>
      </c>
      <c r="N115" s="161">
        <v>183780</v>
      </c>
      <c r="O115" s="161">
        <v>828000</v>
      </c>
      <c r="P115" s="161"/>
    </row>
    <row r="116" spans="2:16">
      <c r="B116" s="155"/>
      <c r="C116" s="156" t="s">
        <v>237</v>
      </c>
      <c r="D116" s="157"/>
      <c r="E116" s="157"/>
      <c r="F116" s="158"/>
      <c r="H116" s="159"/>
      <c r="I116" s="160"/>
      <c r="J116" s="163">
        <v>4.4999999999999998E-2</v>
      </c>
      <c r="K116" s="163">
        <v>0.09</v>
      </c>
      <c r="L116" s="163">
        <v>0.10199999999999999</v>
      </c>
      <c r="M116" s="164">
        <v>0.14000000000000001</v>
      </c>
      <c r="N116" s="164">
        <v>0.22</v>
      </c>
      <c r="O116" s="164">
        <v>0.33</v>
      </c>
      <c r="P116" s="162"/>
    </row>
    <row r="118" spans="2:16">
      <c r="J118" s="165" t="s">
        <v>229</v>
      </c>
      <c r="K118" s="165" t="s">
        <v>230</v>
      </c>
      <c r="L118" s="165" t="s">
        <v>231</v>
      </c>
      <c r="M118" s="165" t="s">
        <v>232</v>
      </c>
      <c r="N118" s="165" t="s">
        <v>233</v>
      </c>
      <c r="O118" s="165" t="s">
        <v>234</v>
      </c>
      <c r="P118" s="166"/>
    </row>
    <row r="119" spans="2:16">
      <c r="F119" s="167"/>
      <c r="I119" s="168" t="s">
        <v>209</v>
      </c>
      <c r="J119" s="65">
        <v>0.1767</v>
      </c>
      <c r="K119" s="65">
        <v>0.20549999999999999</v>
      </c>
      <c r="L119" s="65">
        <v>0.1973</v>
      </c>
      <c r="M119" s="65">
        <v>0.189</v>
      </c>
      <c r="N119" s="65">
        <v>0.18079999999999999</v>
      </c>
      <c r="O119" s="65">
        <v>0.20549999999999999</v>
      </c>
      <c r="P119" s="65">
        <f t="array" ref="P119">INDEX(H102:O102,MATCH($P$115&amp;$P$116,$H$113:$O$113&amp;$H$115:$O$115,0))</f>
        <v>0.03</v>
      </c>
    </row>
    <row r="120" spans="2:16">
      <c r="F120" s="167"/>
      <c r="I120" s="168" t="s">
        <v>238</v>
      </c>
      <c r="J120" s="65">
        <v>3.8300000000000001E-2</v>
      </c>
      <c r="K120" s="65">
        <v>4.4499999999999998E-2</v>
      </c>
      <c r="L120" s="65">
        <v>4.2700000000000002E-2</v>
      </c>
      <c r="M120" s="65">
        <v>4.1000000000000002E-2</v>
      </c>
      <c r="N120" s="65">
        <v>3.9199999999999999E-2</v>
      </c>
      <c r="O120" s="65">
        <v>4.4499999999999998E-2</v>
      </c>
      <c r="P120" s="65">
        <f t="array" ref="P120">INDEX(H103:O103,MATCH($P$115&amp;$P$116,$H$113:$O$113&amp;$H$115:$O$115,0))</f>
        <v>6.4999999999999997E-3</v>
      </c>
    </row>
    <row r="121" spans="2:16">
      <c r="F121" s="167"/>
      <c r="I121" s="168" t="s">
        <v>239</v>
      </c>
      <c r="J121" s="65">
        <v>0.44500000000000001</v>
      </c>
      <c r="K121" s="65">
        <v>0.4</v>
      </c>
      <c r="L121" s="65">
        <v>0.4</v>
      </c>
      <c r="M121" s="65">
        <v>0.4</v>
      </c>
      <c r="N121" s="65">
        <v>0.4</v>
      </c>
      <c r="O121" s="65">
        <v>0.4</v>
      </c>
      <c r="P121" s="65">
        <f t="array" ref="P121">INDEX(H104:O104,MATCH($P$115&amp;$P$116,$H$113:$O$113&amp;$H$115:$O$115,0))</f>
        <v>0.05</v>
      </c>
    </row>
    <row r="122" spans="2:16">
      <c r="F122" s="169"/>
    </row>
    <row r="123" spans="2:16">
      <c r="F123" s="169"/>
    </row>
    <row r="124" spans="2:16">
      <c r="F124" s="169"/>
    </row>
    <row r="125" spans="2:16">
      <c r="J125" s="170"/>
    </row>
    <row r="127" spans="2:16">
      <c r="J127" s="170"/>
    </row>
  </sheetData>
  <mergeCells count="17">
    <mergeCell ref="C79:F79"/>
    <mergeCell ref="J101:P101"/>
    <mergeCell ref="E102:E103"/>
    <mergeCell ref="B111:B113"/>
    <mergeCell ref="C111:C113"/>
    <mergeCell ref="D111:D113"/>
    <mergeCell ref="E111:E113"/>
    <mergeCell ref="F111:F113"/>
    <mergeCell ref="H111:P111"/>
    <mergeCell ref="H112:H113"/>
    <mergeCell ref="I112:I113"/>
    <mergeCell ref="P112:P113"/>
    <mergeCell ref="E3:F3"/>
    <mergeCell ref="E5:F5"/>
    <mergeCell ref="J23:O23"/>
    <mergeCell ref="B35:B37"/>
    <mergeCell ref="F35:F37"/>
  </mergeCells>
  <hyperlinks>
    <hyperlink ref="F80" r:id="rId1" location="/documento/acordao-completo/*/KEY%253AACORDAO-COMPLETO-40423/DTRELEVANCIA%2520desc/0/sinonimos%253Dfalse" display="ACÓRDÃO 1753/2008 - PLENÁRIO - Caso o contrato preveja substituição do empregado em férias, para que o posto não fique descoberto a empresa deverá repor o profissional ausente por meio de profissional subtituto ao qual deverá retribuir com a mesma remuneração do titular. A estimativa do percentual dessa rubrica a ser aplicado sobre a remuneração mensal do titular pode ser obtido pelo cálculo: (8,33/12)+(8,33/12)+(1/3x(8,33/12)) ≅ 1,62%_x000a_Para fins de cálculo a base a ser utilizada é o total da remuneração para que não haja dupla incidência de férias. adicional de férias e décimo-terceiro." xr:uid="{00000000-0004-0000-0100-000000000000}"/>
  </hyperlink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X173"/>
  <sheetViews>
    <sheetView topLeftCell="A156" zoomScaleNormal="100" workbookViewId="0">
      <selection activeCell="H181" sqref="H181"/>
    </sheetView>
  </sheetViews>
  <sheetFormatPr defaultColWidth="9.140625" defaultRowHeight="15"/>
  <cols>
    <col min="1" max="1" width="2" style="171" customWidth="1"/>
    <col min="2" max="2" width="3.85546875" style="172" customWidth="1"/>
    <col min="3" max="3" width="63" style="173" customWidth="1"/>
    <col min="4" max="4" width="15.140625" style="174" customWidth="1"/>
    <col min="5" max="6" width="22" style="173" customWidth="1"/>
    <col min="7" max="11" width="20.42578125" style="171" customWidth="1"/>
    <col min="12" max="12" width="20.85546875" style="171" customWidth="1"/>
    <col min="13" max="13" width="16" style="171" customWidth="1"/>
    <col min="14" max="14" width="13.85546875" style="171" customWidth="1"/>
    <col min="15" max="15" width="30.5703125" style="171" customWidth="1"/>
    <col min="16" max="16" width="26.5703125" style="171" customWidth="1"/>
    <col min="17" max="17" width="18.140625" style="171" customWidth="1"/>
    <col min="18" max="16384" width="9.140625" style="171"/>
  </cols>
  <sheetData>
    <row r="1" spans="1:12" ht="38.25" customHeight="1">
      <c r="A1" s="175"/>
      <c r="B1" s="175"/>
      <c r="C1" s="175"/>
      <c r="D1" s="666" t="s">
        <v>240</v>
      </c>
      <c r="E1" s="666"/>
      <c r="F1" s="666"/>
      <c r="G1" s="666"/>
      <c r="H1" s="666"/>
      <c r="I1" s="666"/>
      <c r="J1" s="666"/>
      <c r="K1" s="666"/>
      <c r="L1" s="666"/>
    </row>
    <row r="2" spans="1:12" ht="21.75" customHeight="1">
      <c r="A2" s="176"/>
      <c r="B2" s="176"/>
      <c r="C2" s="176"/>
      <c r="D2" s="666"/>
      <c r="E2" s="666"/>
      <c r="F2" s="666"/>
      <c r="G2" s="666"/>
      <c r="H2" s="666"/>
      <c r="I2" s="666"/>
      <c r="J2" s="666"/>
      <c r="K2" s="666"/>
      <c r="L2" s="666"/>
    </row>
    <row r="3" spans="1:12" ht="15" customHeight="1">
      <c r="A3" s="176"/>
      <c r="B3" s="177" t="s">
        <v>3</v>
      </c>
      <c r="C3" s="176"/>
      <c r="D3" s="666"/>
      <c r="E3" s="666"/>
      <c r="F3" s="666"/>
      <c r="G3" s="666"/>
      <c r="H3" s="666"/>
      <c r="I3" s="666"/>
      <c r="J3" s="666"/>
      <c r="K3" s="666"/>
      <c r="L3" s="666"/>
    </row>
    <row r="4" spans="1:12" ht="15" customHeight="1">
      <c r="A4" s="176"/>
      <c r="B4" s="177" t="s">
        <v>5</v>
      </c>
      <c r="C4" s="176"/>
      <c r="D4" s="666"/>
      <c r="E4" s="666"/>
      <c r="F4" s="666"/>
      <c r="G4" s="666"/>
      <c r="H4" s="666"/>
      <c r="I4" s="666"/>
      <c r="J4" s="666"/>
      <c r="K4" s="666"/>
      <c r="L4" s="666"/>
    </row>
    <row r="5" spans="1:12" ht="15.75" customHeight="1">
      <c r="A5" s="178"/>
      <c r="B5" s="179"/>
      <c r="C5" s="178"/>
      <c r="D5" s="666"/>
      <c r="E5" s="666"/>
      <c r="F5" s="666"/>
      <c r="G5" s="666"/>
      <c r="H5" s="666"/>
      <c r="I5" s="666"/>
      <c r="J5" s="666"/>
      <c r="K5" s="666"/>
      <c r="L5" s="666"/>
    </row>
    <row r="6" spans="1:12" ht="18.75" customHeight="1">
      <c r="A6" s="180"/>
      <c r="B6" s="36"/>
      <c r="C6" s="181"/>
      <c r="D6" s="181"/>
      <c r="E6" s="181"/>
      <c r="F6" s="181"/>
      <c r="G6" s="181"/>
      <c r="H6" s="181"/>
      <c r="I6" s="181"/>
      <c r="J6" s="181"/>
      <c r="K6" s="181"/>
      <c r="L6" s="181"/>
    </row>
    <row r="7" spans="1:12" ht="26.25" customHeight="1">
      <c r="B7" s="667" t="s">
        <v>241</v>
      </c>
      <c r="C7" s="667"/>
      <c r="D7" s="667"/>
      <c r="E7" s="667"/>
      <c r="F7" s="667"/>
      <c r="G7" s="667"/>
      <c r="H7" s="667"/>
      <c r="I7" s="667"/>
      <c r="J7" s="667"/>
      <c r="K7" s="667"/>
      <c r="L7" s="667"/>
    </row>
    <row r="8" spans="1:12">
      <c r="B8" s="182" t="s">
        <v>35</v>
      </c>
      <c r="C8" s="183" t="s">
        <v>242</v>
      </c>
      <c r="D8" s="668"/>
      <c r="E8" s="668"/>
      <c r="F8" s="184"/>
      <c r="G8" s="184"/>
      <c r="H8" s="184"/>
      <c r="I8" s="184"/>
      <c r="J8" s="184"/>
      <c r="K8" s="184"/>
      <c r="L8" s="184"/>
    </row>
    <row r="9" spans="1:12">
      <c r="B9" s="185" t="s">
        <v>37</v>
      </c>
      <c r="C9" s="186" t="s">
        <v>243</v>
      </c>
      <c r="D9" s="669"/>
      <c r="E9" s="669"/>
      <c r="F9" s="184"/>
      <c r="G9" s="184"/>
      <c r="H9" s="184"/>
      <c r="I9" s="184"/>
      <c r="J9" s="184"/>
      <c r="K9" s="184"/>
      <c r="L9" s="184"/>
    </row>
    <row r="10" spans="1:12" ht="75.75" customHeight="1">
      <c r="B10" s="187" t="s">
        <v>39</v>
      </c>
      <c r="C10" s="186" t="s">
        <v>244</v>
      </c>
      <c r="D10" s="670" t="s">
        <v>245</v>
      </c>
      <c r="E10" s="670"/>
      <c r="F10" s="188"/>
      <c r="G10" s="189"/>
      <c r="H10" s="189"/>
      <c r="I10" s="189"/>
      <c r="J10" s="189"/>
      <c r="K10" s="189"/>
      <c r="L10" s="189"/>
    </row>
    <row r="11" spans="1:12" ht="18" customHeight="1">
      <c r="B11" s="187" t="s">
        <v>41</v>
      </c>
      <c r="C11" s="173" t="s">
        <v>246</v>
      </c>
      <c r="D11" s="671"/>
      <c r="E11" s="671"/>
      <c r="F11" s="190"/>
      <c r="G11" s="190"/>
      <c r="H11" s="190"/>
      <c r="I11" s="190"/>
      <c r="J11" s="190"/>
      <c r="K11" s="190"/>
      <c r="L11" s="190"/>
    </row>
    <row r="12" spans="1:12">
      <c r="B12" s="187" t="s">
        <v>44</v>
      </c>
      <c r="C12" s="186" t="s">
        <v>247</v>
      </c>
      <c r="D12" s="672">
        <v>24</v>
      </c>
      <c r="E12" s="672"/>
      <c r="F12" s="191"/>
      <c r="G12" s="191"/>
      <c r="H12" s="191"/>
      <c r="I12" s="191"/>
      <c r="J12" s="191"/>
      <c r="K12" s="191"/>
      <c r="L12" s="191"/>
    </row>
    <row r="13" spans="1:12">
      <c r="B13" s="187" t="s">
        <v>41</v>
      </c>
      <c r="C13" s="186" t="s">
        <v>248</v>
      </c>
      <c r="D13" s="673" t="s">
        <v>249</v>
      </c>
      <c r="E13" s="673"/>
      <c r="F13" s="192"/>
      <c r="G13" s="192"/>
      <c r="H13" s="192"/>
      <c r="I13" s="192"/>
      <c r="J13" s="192"/>
      <c r="K13" s="192"/>
      <c r="L13" s="192"/>
    </row>
    <row r="14" spans="1:12">
      <c r="B14" s="187" t="s">
        <v>44</v>
      </c>
      <c r="C14" s="186" t="s">
        <v>250</v>
      </c>
      <c r="D14" s="674" t="s">
        <v>0</v>
      </c>
      <c r="E14" s="674"/>
      <c r="F14" s="193"/>
      <c r="G14" s="193"/>
      <c r="H14" s="193"/>
      <c r="I14" s="193"/>
      <c r="J14" s="193"/>
      <c r="K14" s="193"/>
      <c r="L14" s="193"/>
    </row>
    <row r="15" spans="1:12" ht="21.75" customHeight="1">
      <c r="B15" s="187" t="s">
        <v>41</v>
      </c>
      <c r="C15" s="194" t="s">
        <v>251</v>
      </c>
      <c r="D15" s="675"/>
      <c r="E15" s="675"/>
      <c r="F15" s="195"/>
      <c r="G15" s="195"/>
      <c r="H15" s="195"/>
      <c r="I15" s="195"/>
      <c r="J15" s="195"/>
      <c r="K15" s="195"/>
      <c r="L15" s="195"/>
    </row>
    <row r="16" spans="1:12">
      <c r="B16" s="187" t="s">
        <v>44</v>
      </c>
      <c r="C16" s="186" t="s">
        <v>252</v>
      </c>
      <c r="D16" s="676">
        <v>1621</v>
      </c>
      <c r="E16" s="676"/>
      <c r="F16" s="196"/>
      <c r="G16" s="196"/>
      <c r="H16" s="196"/>
      <c r="I16" s="196"/>
      <c r="J16" s="196"/>
      <c r="K16" s="196"/>
      <c r="L16" s="196"/>
    </row>
    <row r="17" spans="1:24" ht="27.75" customHeight="1">
      <c r="B17" s="187" t="s">
        <v>46</v>
      </c>
      <c r="C17" s="186" t="s">
        <v>253</v>
      </c>
      <c r="D17" s="677" t="s">
        <v>254</v>
      </c>
      <c r="E17" s="677"/>
      <c r="F17" s="197"/>
      <c r="G17" s="196"/>
      <c r="H17" s="196"/>
      <c r="I17" s="196"/>
      <c r="J17" s="196"/>
      <c r="K17" s="196"/>
      <c r="L17" s="196"/>
    </row>
    <row r="18" spans="1:24" ht="15.75" customHeight="1">
      <c r="B18" s="187" t="s">
        <v>48</v>
      </c>
      <c r="C18" s="198" t="s">
        <v>255</v>
      </c>
      <c r="D18" s="678" t="s">
        <v>256</v>
      </c>
      <c r="E18" s="678"/>
      <c r="F18" s="199"/>
      <c r="G18" s="200"/>
      <c r="H18" s="200"/>
      <c r="I18" s="200"/>
      <c r="J18" s="200"/>
      <c r="K18" s="200"/>
      <c r="L18" s="200"/>
    </row>
    <row r="19" spans="1:24">
      <c r="A19" s="201"/>
      <c r="B19" s="202"/>
      <c r="C19" s="203"/>
      <c r="D19" s="204"/>
      <c r="E19" s="203"/>
      <c r="F19" s="203"/>
      <c r="G19" s="203"/>
      <c r="H19" s="203"/>
      <c r="I19" s="203"/>
      <c r="J19" s="203"/>
      <c r="K19" s="203"/>
      <c r="L19" s="203"/>
    </row>
    <row r="20" spans="1:24" s="36" customFormat="1" ht="22.5" customHeight="1">
      <c r="A20" s="205"/>
      <c r="B20" s="206"/>
      <c r="C20" s="679" t="s">
        <v>257</v>
      </c>
      <c r="D20" s="679"/>
      <c r="E20" s="680" t="s">
        <v>258</v>
      </c>
      <c r="F20" s="680"/>
      <c r="G20" s="680"/>
      <c r="H20" s="680"/>
      <c r="I20" s="680"/>
      <c r="J20" s="680"/>
      <c r="K20" s="680"/>
      <c r="L20" s="680"/>
    </row>
    <row r="21" spans="1:24" s="36" customFormat="1" ht="45" customHeight="1">
      <c r="A21" s="205"/>
      <c r="B21" s="207" t="s">
        <v>35</v>
      </c>
      <c r="C21" s="208" t="s">
        <v>259</v>
      </c>
      <c r="D21" s="209"/>
      <c r="E21" s="210" t="s">
        <v>260</v>
      </c>
      <c r="F21" s="210" t="s">
        <v>261</v>
      </c>
      <c r="G21" s="210" t="s">
        <v>262</v>
      </c>
      <c r="H21" s="210" t="s">
        <v>263</v>
      </c>
      <c r="I21" s="210" t="s">
        <v>264</v>
      </c>
      <c r="J21" s="210" t="s">
        <v>265</v>
      </c>
      <c r="K21" s="210" t="s">
        <v>266</v>
      </c>
      <c r="L21" s="210" t="s">
        <v>267</v>
      </c>
      <c r="X21" s="36" t="s">
        <v>268</v>
      </c>
    </row>
    <row r="22" spans="1:24" s="36" customFormat="1">
      <c r="A22" s="205"/>
      <c r="B22" s="207"/>
      <c r="C22" s="208" t="s">
        <v>269</v>
      </c>
      <c r="D22" s="209"/>
      <c r="E22" s="210" t="s">
        <v>270</v>
      </c>
      <c r="F22" s="210" t="s">
        <v>271</v>
      </c>
      <c r="G22" s="210" t="s">
        <v>271</v>
      </c>
      <c r="H22" s="210" t="s">
        <v>271</v>
      </c>
      <c r="I22" s="210" t="s">
        <v>271</v>
      </c>
      <c r="J22" s="210" t="s">
        <v>271</v>
      </c>
      <c r="K22" s="210" t="s">
        <v>271</v>
      </c>
      <c r="L22" s="210" t="s">
        <v>271</v>
      </c>
    </row>
    <row r="23" spans="1:24">
      <c r="A23" s="211"/>
      <c r="B23" s="187" t="s">
        <v>37</v>
      </c>
      <c r="C23" s="212" t="s">
        <v>272</v>
      </c>
      <c r="D23" s="213"/>
      <c r="E23" s="214" t="s">
        <v>273</v>
      </c>
      <c r="F23" s="214">
        <v>42</v>
      </c>
      <c r="G23" s="214">
        <v>42</v>
      </c>
      <c r="H23" s="214" t="s">
        <v>274</v>
      </c>
      <c r="I23" s="214" t="s">
        <v>274</v>
      </c>
      <c r="J23" s="214" t="s">
        <v>275</v>
      </c>
      <c r="K23" s="214" t="s">
        <v>275</v>
      </c>
      <c r="L23" s="214" t="s">
        <v>276</v>
      </c>
    </row>
    <row r="24" spans="1:24">
      <c r="A24" s="215"/>
      <c r="B24" s="185" t="s">
        <v>39</v>
      </c>
      <c r="C24" s="216" t="s">
        <v>277</v>
      </c>
      <c r="D24" s="217"/>
      <c r="E24" s="218">
        <v>2471.62</v>
      </c>
      <c r="F24" s="218">
        <v>3055.52</v>
      </c>
      <c r="G24" s="218">
        <v>3925.52</v>
      </c>
      <c r="H24" s="218">
        <v>4765.41</v>
      </c>
      <c r="I24" s="218">
        <v>6357.99</v>
      </c>
      <c r="J24" s="218">
        <v>8173.41</v>
      </c>
      <c r="K24" s="218">
        <v>4051.77</v>
      </c>
      <c r="L24" s="218">
        <v>3285.07</v>
      </c>
    </row>
    <row r="25" spans="1:24">
      <c r="A25" s="211"/>
      <c r="B25" s="187" t="s">
        <v>41</v>
      </c>
      <c r="C25" s="212" t="s">
        <v>278</v>
      </c>
      <c r="D25" s="213"/>
      <c r="E25" s="219">
        <v>200</v>
      </c>
      <c r="F25" s="219">
        <v>200</v>
      </c>
      <c r="G25" s="219">
        <v>200</v>
      </c>
      <c r="H25" s="219">
        <v>200</v>
      </c>
      <c r="I25" s="219">
        <v>200</v>
      </c>
      <c r="J25" s="219">
        <v>200</v>
      </c>
      <c r="K25" s="219">
        <v>200</v>
      </c>
      <c r="L25" s="219">
        <v>180</v>
      </c>
    </row>
    <row r="26" spans="1:24">
      <c r="A26" s="211"/>
      <c r="B26" s="187" t="s">
        <v>46</v>
      </c>
      <c r="C26" s="212" t="s">
        <v>279</v>
      </c>
      <c r="D26" s="213"/>
      <c r="E26" s="220">
        <v>46023</v>
      </c>
      <c r="F26" s="220">
        <v>46023</v>
      </c>
      <c r="G26" s="220">
        <v>46023</v>
      </c>
      <c r="H26" s="220">
        <v>46023</v>
      </c>
      <c r="I26" s="220">
        <v>46023</v>
      </c>
      <c r="J26" s="220">
        <v>46023</v>
      </c>
      <c r="K26" s="220">
        <v>46023</v>
      </c>
      <c r="L26" s="220">
        <v>46023</v>
      </c>
    </row>
    <row r="27" spans="1:24">
      <c r="A27" s="215"/>
      <c r="B27" s="185" t="s">
        <v>50</v>
      </c>
      <c r="C27" s="212" t="s">
        <v>280</v>
      </c>
      <c r="D27" s="213"/>
      <c r="E27" s="214">
        <v>221</v>
      </c>
      <c r="F27" s="214">
        <v>362</v>
      </c>
      <c r="G27" s="214">
        <v>133</v>
      </c>
      <c r="H27" s="214">
        <v>52</v>
      </c>
      <c r="I27" s="214">
        <v>16</v>
      </c>
      <c r="J27" s="214">
        <v>5</v>
      </c>
      <c r="K27" s="214">
        <v>21</v>
      </c>
      <c r="L27" s="214">
        <v>14</v>
      </c>
    </row>
    <row r="28" spans="1:24" ht="9.75" customHeight="1">
      <c r="A28" s="221"/>
      <c r="B28" s="222"/>
      <c r="C28" s="223"/>
      <c r="D28" s="223"/>
      <c r="E28" s="222"/>
      <c r="F28" s="222"/>
      <c r="G28" s="222"/>
      <c r="H28" s="222"/>
      <c r="I28" s="222"/>
      <c r="J28" s="222"/>
      <c r="K28" s="222"/>
      <c r="L28" s="222"/>
    </row>
    <row r="29" spans="1:24" s="36" customFormat="1">
      <c r="A29" s="224"/>
      <c r="B29" s="225"/>
      <c r="C29" s="226" t="s">
        <v>52</v>
      </c>
      <c r="D29" s="227"/>
      <c r="E29" s="228"/>
      <c r="F29" s="228"/>
      <c r="G29" s="228"/>
      <c r="H29" s="228"/>
      <c r="I29" s="228"/>
      <c r="J29" s="228"/>
      <c r="K29" s="228"/>
      <c r="L29" s="229"/>
    </row>
    <row r="30" spans="1:24" s="36" customFormat="1">
      <c r="A30" s="230"/>
      <c r="B30" s="681" t="s">
        <v>35</v>
      </c>
      <c r="C30" s="232"/>
      <c r="D30" s="233"/>
      <c r="E30" s="234" t="s">
        <v>281</v>
      </c>
      <c r="F30" s="234" t="s">
        <v>281</v>
      </c>
      <c r="G30" s="234" t="s">
        <v>281</v>
      </c>
      <c r="H30" s="234" t="s">
        <v>281</v>
      </c>
      <c r="I30" s="234" t="s">
        <v>281</v>
      </c>
      <c r="J30" s="234" t="s">
        <v>281</v>
      </c>
      <c r="K30" s="234" t="s">
        <v>281</v>
      </c>
      <c r="L30" s="234" t="s">
        <v>281</v>
      </c>
    </row>
    <row r="31" spans="1:24">
      <c r="A31" s="230"/>
      <c r="B31" s="681"/>
      <c r="C31" s="235" t="s">
        <v>282</v>
      </c>
      <c r="D31" s="236"/>
      <c r="E31" s="237">
        <f t="shared" ref="E31:L31" si="0">E24</f>
        <v>2471.62</v>
      </c>
      <c r="F31" s="237">
        <f t="shared" si="0"/>
        <v>3055.52</v>
      </c>
      <c r="G31" s="237">
        <f t="shared" si="0"/>
        <v>3925.52</v>
      </c>
      <c r="H31" s="237">
        <f t="shared" si="0"/>
        <v>4765.41</v>
      </c>
      <c r="I31" s="237">
        <f t="shared" si="0"/>
        <v>6357.99</v>
      </c>
      <c r="J31" s="237">
        <f t="shared" si="0"/>
        <v>8173.41</v>
      </c>
      <c r="K31" s="237">
        <f t="shared" si="0"/>
        <v>4051.77</v>
      </c>
      <c r="L31" s="237">
        <f t="shared" si="0"/>
        <v>3285.07</v>
      </c>
    </row>
    <row r="32" spans="1:24">
      <c r="A32" s="230"/>
      <c r="B32" s="682" t="s">
        <v>37</v>
      </c>
      <c r="C32" s="623" t="s">
        <v>283</v>
      </c>
      <c r="D32" s="233"/>
      <c r="E32" s="238"/>
      <c r="F32" s="238"/>
      <c r="G32" s="238"/>
      <c r="H32" s="238"/>
      <c r="I32" s="238"/>
      <c r="J32" s="238"/>
      <c r="K32" s="238"/>
      <c r="L32" s="238"/>
    </row>
    <row r="33" spans="1:13">
      <c r="A33" s="230"/>
      <c r="B33" s="682"/>
      <c r="C33" s="239" t="s">
        <v>284</v>
      </c>
      <c r="D33" s="240"/>
      <c r="E33" s="241">
        <v>0</v>
      </c>
      <c r="F33" s="241">
        <v>0</v>
      </c>
      <c r="G33" s="241">
        <v>0</v>
      </c>
      <c r="H33" s="241">
        <v>0</v>
      </c>
      <c r="I33" s="241">
        <v>0</v>
      </c>
      <c r="J33" s="241">
        <v>0</v>
      </c>
      <c r="K33" s="241">
        <v>0</v>
      </c>
      <c r="L33" s="241">
        <v>0</v>
      </c>
    </row>
    <row r="34" spans="1:13">
      <c r="A34" s="230"/>
      <c r="B34" s="682"/>
      <c r="C34" s="242"/>
      <c r="D34" s="243" t="s">
        <v>285</v>
      </c>
      <c r="E34" s="244">
        <f t="shared" ref="E34:L34" si="1">IFERROR(ROUND((E31)*E33,2),"")</f>
        <v>0</v>
      </c>
      <c r="F34" s="244">
        <f t="shared" si="1"/>
        <v>0</v>
      </c>
      <c r="G34" s="244">
        <f t="shared" si="1"/>
        <v>0</v>
      </c>
      <c r="H34" s="244">
        <f t="shared" si="1"/>
        <v>0</v>
      </c>
      <c r="I34" s="244">
        <f t="shared" si="1"/>
        <v>0</v>
      </c>
      <c r="J34" s="244">
        <f t="shared" si="1"/>
        <v>0</v>
      </c>
      <c r="K34" s="244">
        <f t="shared" si="1"/>
        <v>0</v>
      </c>
      <c r="L34" s="244">
        <f t="shared" si="1"/>
        <v>0</v>
      </c>
    </row>
    <row r="35" spans="1:13">
      <c r="A35" s="230"/>
      <c r="B35" s="683" t="s">
        <v>39</v>
      </c>
      <c r="C35" s="245" t="s">
        <v>286</v>
      </c>
      <c r="D35" s="246"/>
      <c r="E35" s="247"/>
      <c r="F35" s="247"/>
      <c r="G35" s="247"/>
      <c r="H35" s="247"/>
      <c r="I35" s="247"/>
      <c r="J35" s="247"/>
      <c r="K35" s="247"/>
      <c r="L35" s="247"/>
    </row>
    <row r="36" spans="1:13">
      <c r="A36" s="230"/>
      <c r="B36" s="683"/>
      <c r="C36" s="248" t="s">
        <v>287</v>
      </c>
      <c r="D36" s="249"/>
      <c r="E36" s="250">
        <v>0.4</v>
      </c>
      <c r="F36" s="250">
        <v>0</v>
      </c>
      <c r="G36" s="250">
        <v>0</v>
      </c>
      <c r="H36" s="250">
        <v>0</v>
      </c>
      <c r="I36" s="250">
        <v>0</v>
      </c>
      <c r="J36" s="250">
        <v>0</v>
      </c>
      <c r="K36" s="250">
        <v>0</v>
      </c>
      <c r="L36" s="250">
        <v>0.4</v>
      </c>
      <c r="M36" s="251"/>
    </row>
    <row r="37" spans="1:13">
      <c r="A37" s="230"/>
      <c r="B37" s="683"/>
      <c r="C37" s="171"/>
      <c r="D37" s="252" t="s">
        <v>285</v>
      </c>
      <c r="E37" s="253">
        <f t="shared" ref="E37:L37" si="2">$D$16*E36</f>
        <v>648.40000000000009</v>
      </c>
      <c r="F37" s="253">
        <f t="shared" si="2"/>
        <v>0</v>
      </c>
      <c r="G37" s="253">
        <f t="shared" si="2"/>
        <v>0</v>
      </c>
      <c r="H37" s="253">
        <f t="shared" si="2"/>
        <v>0</v>
      </c>
      <c r="I37" s="253">
        <f t="shared" si="2"/>
        <v>0</v>
      </c>
      <c r="J37" s="253">
        <f t="shared" si="2"/>
        <v>0</v>
      </c>
      <c r="K37" s="253">
        <f t="shared" si="2"/>
        <v>0</v>
      </c>
      <c r="L37" s="253">
        <f t="shared" si="2"/>
        <v>648.40000000000009</v>
      </c>
    </row>
    <row r="38" spans="1:13">
      <c r="A38" s="230"/>
      <c r="B38" s="684" t="s">
        <v>41</v>
      </c>
      <c r="C38" s="685" t="s">
        <v>288</v>
      </c>
      <c r="D38" s="686"/>
      <c r="E38" s="254">
        <v>0</v>
      </c>
      <c r="F38" s="255">
        <v>0</v>
      </c>
      <c r="G38" s="255">
        <v>0</v>
      </c>
      <c r="H38" s="255">
        <v>0</v>
      </c>
      <c r="I38" s="255">
        <v>0</v>
      </c>
      <c r="J38" s="255">
        <v>0</v>
      </c>
      <c r="K38" s="255">
        <v>0</v>
      </c>
      <c r="L38" s="255">
        <v>0</v>
      </c>
    </row>
    <row r="39" spans="1:13">
      <c r="A39" s="230"/>
      <c r="B39" s="684"/>
      <c r="C39" s="256"/>
      <c r="D39" s="257" t="s">
        <v>285</v>
      </c>
      <c r="E39" s="258">
        <v>0</v>
      </c>
      <c r="F39" s="237">
        <v>0</v>
      </c>
      <c r="G39" s="237">
        <v>0</v>
      </c>
      <c r="H39" s="237">
        <v>0</v>
      </c>
      <c r="I39" s="237">
        <v>0</v>
      </c>
      <c r="J39" s="237">
        <v>0</v>
      </c>
      <c r="K39" s="237">
        <v>0</v>
      </c>
      <c r="L39" s="237">
        <v>0</v>
      </c>
      <c r="M39" s="251"/>
    </row>
    <row r="40" spans="1:13" s="263" customFormat="1" ht="15.75" customHeight="1">
      <c r="A40" s="259"/>
      <c r="B40" s="260"/>
      <c r="C40" s="226" t="s">
        <v>289</v>
      </c>
      <c r="D40" s="261"/>
      <c r="E40" s="262">
        <f t="shared" ref="E40:L40" si="3">E31+E34+E37+E39</f>
        <v>3120.02</v>
      </c>
      <c r="F40" s="262">
        <f t="shared" si="3"/>
        <v>3055.52</v>
      </c>
      <c r="G40" s="262">
        <f t="shared" si="3"/>
        <v>3925.52</v>
      </c>
      <c r="H40" s="262">
        <f t="shared" si="3"/>
        <v>4765.41</v>
      </c>
      <c r="I40" s="262">
        <f t="shared" si="3"/>
        <v>6357.99</v>
      </c>
      <c r="J40" s="262">
        <f t="shared" si="3"/>
        <v>8173.41</v>
      </c>
      <c r="K40" s="262">
        <f t="shared" si="3"/>
        <v>4051.77</v>
      </c>
      <c r="L40" s="262">
        <f t="shared" si="3"/>
        <v>3933.4700000000003</v>
      </c>
    </row>
    <row r="41" spans="1:13" s="265" customFormat="1">
      <c r="A41" s="264"/>
      <c r="D41" s="266"/>
      <c r="E41" s="267"/>
      <c r="F41" s="267"/>
      <c r="G41" s="267"/>
      <c r="H41" s="267"/>
      <c r="I41" s="267"/>
      <c r="J41" s="267"/>
      <c r="K41" s="267"/>
      <c r="L41" s="267"/>
    </row>
    <row r="42" spans="1:13" s="136" customFormat="1">
      <c r="A42" s="268"/>
      <c r="B42" s="269"/>
      <c r="C42" s="226" t="s">
        <v>73</v>
      </c>
      <c r="D42" s="270"/>
      <c r="E42" s="271"/>
      <c r="F42" s="271"/>
      <c r="G42" s="271"/>
      <c r="H42" s="271"/>
      <c r="I42" s="271"/>
      <c r="J42" s="271"/>
      <c r="K42" s="271"/>
      <c r="L42" s="272"/>
    </row>
    <row r="43" spans="1:13" ht="7.5" customHeight="1"/>
    <row r="44" spans="1:13" s="136" customFormat="1">
      <c r="A44" s="273"/>
      <c r="B44" s="274"/>
      <c r="C44" s="275" t="s">
        <v>74</v>
      </c>
      <c r="D44" s="276"/>
      <c r="E44" s="277"/>
      <c r="F44" s="277"/>
      <c r="G44" s="277"/>
      <c r="H44" s="277"/>
      <c r="I44" s="277"/>
      <c r="J44" s="277"/>
      <c r="K44" s="277"/>
      <c r="L44" s="278"/>
    </row>
    <row r="45" spans="1:13">
      <c r="A45" s="268"/>
      <c r="B45" s="279" t="s">
        <v>35</v>
      </c>
      <c r="C45" s="280" t="s">
        <v>78</v>
      </c>
      <c r="D45" s="281">
        <f>IFERROR(INDEX('BASE APOIO-NOTAS EXPLICATIVAS '!P:P,MATCH(C45,'BASE APOIO-NOTAS EXPLICATIVAS '!C:C,0)),"")</f>
        <v>8.3299999999999999E-2</v>
      </c>
      <c r="E45" s="282">
        <f t="shared" ref="E45:L47" si="4">IFERROR(ROUND($D45*E$40,2),"")</f>
        <v>259.89999999999998</v>
      </c>
      <c r="F45" s="283">
        <f t="shared" si="4"/>
        <v>254.52</v>
      </c>
      <c r="G45" s="237">
        <f t="shared" si="4"/>
        <v>327</v>
      </c>
      <c r="H45" s="237">
        <f t="shared" si="4"/>
        <v>396.96</v>
      </c>
      <c r="I45" s="237">
        <f t="shared" si="4"/>
        <v>529.62</v>
      </c>
      <c r="J45" s="237">
        <f t="shared" si="4"/>
        <v>680.85</v>
      </c>
      <c r="K45" s="237">
        <f t="shared" si="4"/>
        <v>337.51</v>
      </c>
      <c r="L45" s="237">
        <f t="shared" si="4"/>
        <v>327.66000000000003</v>
      </c>
    </row>
    <row r="46" spans="1:13">
      <c r="A46" s="268"/>
      <c r="B46" s="279" t="s">
        <v>37</v>
      </c>
      <c r="C46" s="280" t="s">
        <v>82</v>
      </c>
      <c r="D46" s="284">
        <v>0.1111</v>
      </c>
      <c r="E46" s="285">
        <f t="shared" si="4"/>
        <v>346.63</v>
      </c>
      <c r="F46" s="283">
        <f t="shared" si="4"/>
        <v>339.47</v>
      </c>
      <c r="G46" s="283">
        <f t="shared" si="4"/>
        <v>436.13</v>
      </c>
      <c r="H46" s="283">
        <f t="shared" si="4"/>
        <v>529.44000000000005</v>
      </c>
      <c r="I46" s="283">
        <f t="shared" si="4"/>
        <v>706.37</v>
      </c>
      <c r="J46" s="283">
        <f t="shared" si="4"/>
        <v>908.07</v>
      </c>
      <c r="K46" s="283">
        <f t="shared" si="4"/>
        <v>450.15</v>
      </c>
      <c r="L46" s="283">
        <f t="shared" si="4"/>
        <v>437.01</v>
      </c>
    </row>
    <row r="47" spans="1:13">
      <c r="A47" s="268"/>
      <c r="B47" s="279" t="s">
        <v>39</v>
      </c>
      <c r="C47" s="286" t="s">
        <v>86</v>
      </c>
      <c r="D47" s="284">
        <f>(D45+D46)*(SUM(D51:D56,D60,D61))</f>
        <v>7.1539200000000025E-2</v>
      </c>
      <c r="E47" s="285">
        <f t="shared" si="4"/>
        <v>223.2</v>
      </c>
      <c r="F47" s="283">
        <f t="shared" si="4"/>
        <v>218.59</v>
      </c>
      <c r="G47" s="283">
        <f t="shared" si="4"/>
        <v>280.83</v>
      </c>
      <c r="H47" s="283">
        <f t="shared" si="4"/>
        <v>340.91</v>
      </c>
      <c r="I47" s="283">
        <f t="shared" si="4"/>
        <v>454.85</v>
      </c>
      <c r="J47" s="283">
        <f t="shared" si="4"/>
        <v>584.72</v>
      </c>
      <c r="K47" s="283">
        <f t="shared" si="4"/>
        <v>289.86</v>
      </c>
      <c r="L47" s="283">
        <f t="shared" si="4"/>
        <v>281.39999999999998</v>
      </c>
    </row>
    <row r="48" spans="1:13" s="263" customFormat="1">
      <c r="A48" s="287"/>
      <c r="B48" s="288"/>
      <c r="C48" s="275" t="s">
        <v>290</v>
      </c>
      <c r="D48" s="289"/>
      <c r="E48" s="290">
        <f t="shared" ref="E48:L48" si="5">IF(SUM(E45:E47)=0,"",SUM(E45:E47))</f>
        <v>829.73</v>
      </c>
      <c r="F48" s="291">
        <f t="shared" si="5"/>
        <v>812.58</v>
      </c>
      <c r="G48" s="291">
        <f t="shared" si="5"/>
        <v>1043.96</v>
      </c>
      <c r="H48" s="291">
        <f t="shared" si="5"/>
        <v>1267.3100000000002</v>
      </c>
      <c r="I48" s="291">
        <f t="shared" si="5"/>
        <v>1690.8400000000001</v>
      </c>
      <c r="J48" s="291">
        <f t="shared" si="5"/>
        <v>2173.6400000000003</v>
      </c>
      <c r="K48" s="291">
        <f t="shared" si="5"/>
        <v>1077.52</v>
      </c>
      <c r="L48" s="291">
        <f t="shared" si="5"/>
        <v>1046.0700000000002</v>
      </c>
    </row>
    <row r="49" spans="1:15" ht="7.5" customHeight="1"/>
    <row r="50" spans="1:15" s="136" customFormat="1">
      <c r="A50" s="268"/>
      <c r="B50" s="274"/>
      <c r="C50" s="275" t="s">
        <v>291</v>
      </c>
      <c r="D50" s="276"/>
      <c r="E50" s="277"/>
      <c r="F50" s="277"/>
      <c r="G50" s="277"/>
      <c r="H50" s="277"/>
      <c r="I50" s="277"/>
      <c r="J50" s="277"/>
      <c r="K50" s="277"/>
      <c r="L50" s="278"/>
    </row>
    <row r="51" spans="1:15">
      <c r="A51" s="287"/>
      <c r="B51" s="279" t="s">
        <v>35</v>
      </c>
      <c r="C51" s="280" t="s">
        <v>89</v>
      </c>
      <c r="D51" s="292">
        <f>IFERROR(INDEX('BASE APOIO-NOTAS EXPLICATIVAS '!P:P,MATCH(C51,'BASE APOIO-NOTAS EXPLICATIVAS '!C:C,0)),"")</f>
        <v>0.2</v>
      </c>
      <c r="E51" s="285">
        <f t="shared" ref="E51:L56" si="6">IFERROR(ROUND($D51*E$40,2),"")</f>
        <v>624</v>
      </c>
      <c r="F51" s="283">
        <f t="shared" si="6"/>
        <v>611.1</v>
      </c>
      <c r="G51" s="285">
        <f t="shared" si="6"/>
        <v>785.1</v>
      </c>
      <c r="H51" s="283">
        <f t="shared" si="6"/>
        <v>953.08</v>
      </c>
      <c r="I51" s="283">
        <f t="shared" si="6"/>
        <v>1271.5999999999999</v>
      </c>
      <c r="J51" s="283">
        <f t="shared" si="6"/>
        <v>1634.68</v>
      </c>
      <c r="K51" s="283">
        <f t="shared" si="6"/>
        <v>810.35</v>
      </c>
      <c r="L51" s="283">
        <f t="shared" si="6"/>
        <v>786.69</v>
      </c>
    </row>
    <row r="52" spans="1:15">
      <c r="A52" s="268"/>
      <c r="B52" s="279" t="s">
        <v>37</v>
      </c>
      <c r="C52" s="293" t="s">
        <v>91</v>
      </c>
      <c r="D52" s="294">
        <f>IF(D14="Simples Nacional","",IFERROR(INDEX('BASE APOIO-NOTAS EXPLICATIVAS '!P:P,MATCH(C52,'BASE APOIO-NOTAS EXPLICATIVAS '!C:C,0)),""))</f>
        <v>1.4999999999999999E-2</v>
      </c>
      <c r="E52" s="285">
        <f t="shared" si="6"/>
        <v>46.8</v>
      </c>
      <c r="F52" s="283">
        <f t="shared" si="6"/>
        <v>45.83</v>
      </c>
      <c r="G52" s="283">
        <f t="shared" si="6"/>
        <v>58.88</v>
      </c>
      <c r="H52" s="283">
        <f t="shared" si="6"/>
        <v>71.48</v>
      </c>
      <c r="I52" s="283">
        <f t="shared" si="6"/>
        <v>95.37</v>
      </c>
      <c r="J52" s="283">
        <f t="shared" si="6"/>
        <v>122.6</v>
      </c>
      <c r="K52" s="283">
        <f t="shared" si="6"/>
        <v>60.78</v>
      </c>
      <c r="L52" s="283">
        <f t="shared" si="6"/>
        <v>59</v>
      </c>
    </row>
    <row r="53" spans="1:15">
      <c r="A53" s="268"/>
      <c r="B53" s="279" t="s">
        <v>39</v>
      </c>
      <c r="C53" s="280" t="s">
        <v>93</v>
      </c>
      <c r="D53" s="294">
        <f>IF(D14="Simples Nacional","",IFERROR(INDEX('BASE APOIO-NOTAS EXPLICATIVAS '!P:P,MATCH(C53,'BASE APOIO-NOTAS EXPLICATIVAS '!C:C,0)),""))</f>
        <v>0.01</v>
      </c>
      <c r="E53" s="285">
        <f t="shared" si="6"/>
        <v>31.2</v>
      </c>
      <c r="F53" s="283">
        <f t="shared" si="6"/>
        <v>30.56</v>
      </c>
      <c r="G53" s="283">
        <f t="shared" si="6"/>
        <v>39.26</v>
      </c>
      <c r="H53" s="283">
        <f t="shared" si="6"/>
        <v>47.65</v>
      </c>
      <c r="I53" s="283">
        <f t="shared" si="6"/>
        <v>63.58</v>
      </c>
      <c r="J53" s="283">
        <f t="shared" si="6"/>
        <v>81.73</v>
      </c>
      <c r="K53" s="283">
        <f t="shared" si="6"/>
        <v>40.520000000000003</v>
      </c>
      <c r="L53" s="283">
        <f t="shared" si="6"/>
        <v>39.33</v>
      </c>
    </row>
    <row r="54" spans="1:15">
      <c r="A54" s="268"/>
      <c r="B54" s="279" t="s">
        <v>41</v>
      </c>
      <c r="C54" s="280" t="s">
        <v>95</v>
      </c>
      <c r="D54" s="294">
        <f>IF(D14="Simples Nacional","",IFERROR(INDEX('BASE APOIO-NOTAS EXPLICATIVAS '!P:P,MATCH(C54,'BASE APOIO-NOTAS EXPLICATIVAS '!C:C,0)),""))</f>
        <v>2E-3</v>
      </c>
      <c r="E54" s="285">
        <f t="shared" si="6"/>
        <v>6.24</v>
      </c>
      <c r="F54" s="283">
        <f t="shared" si="6"/>
        <v>6.11</v>
      </c>
      <c r="G54" s="283">
        <f t="shared" si="6"/>
        <v>7.85</v>
      </c>
      <c r="H54" s="283">
        <f t="shared" si="6"/>
        <v>9.5299999999999994</v>
      </c>
      <c r="I54" s="283">
        <f t="shared" si="6"/>
        <v>12.72</v>
      </c>
      <c r="J54" s="283">
        <f t="shared" si="6"/>
        <v>16.350000000000001</v>
      </c>
      <c r="K54" s="283">
        <f t="shared" si="6"/>
        <v>8.1</v>
      </c>
      <c r="L54" s="283">
        <f t="shared" si="6"/>
        <v>7.87</v>
      </c>
    </row>
    <row r="55" spans="1:15">
      <c r="A55" s="268"/>
      <c r="B55" s="279" t="s">
        <v>44</v>
      </c>
      <c r="C55" s="280" t="s">
        <v>97</v>
      </c>
      <c r="D55" s="294">
        <f>IF(D14="Simples Nacional","",IFERROR(INDEX('BASE APOIO-NOTAS EXPLICATIVAS '!P:P,MATCH(C55,'BASE APOIO-NOTAS EXPLICATIVAS '!C:C,0)),""))</f>
        <v>2.5000000000000001E-2</v>
      </c>
      <c r="E55" s="285">
        <f t="shared" si="6"/>
        <v>78</v>
      </c>
      <c r="F55" s="283">
        <f t="shared" si="6"/>
        <v>76.39</v>
      </c>
      <c r="G55" s="283">
        <f t="shared" si="6"/>
        <v>98.14</v>
      </c>
      <c r="H55" s="283">
        <f t="shared" si="6"/>
        <v>119.14</v>
      </c>
      <c r="I55" s="283">
        <f t="shared" si="6"/>
        <v>158.94999999999999</v>
      </c>
      <c r="J55" s="283">
        <f t="shared" si="6"/>
        <v>204.34</v>
      </c>
      <c r="K55" s="283">
        <f t="shared" si="6"/>
        <v>101.29</v>
      </c>
      <c r="L55" s="283">
        <f t="shared" si="6"/>
        <v>98.34</v>
      </c>
    </row>
    <row r="56" spans="1:15">
      <c r="A56" s="268"/>
      <c r="B56" s="279" t="s">
        <v>46</v>
      </c>
      <c r="C56" s="280" t="s">
        <v>99</v>
      </c>
      <c r="D56" s="295">
        <f>IFERROR(INDEX('BASE APOIO-NOTAS EXPLICATIVAS '!P:P,MATCH(C56,'BASE APOIO-NOTAS EXPLICATIVAS '!C:C,0)),"")</f>
        <v>0.08</v>
      </c>
      <c r="E56" s="296">
        <f t="shared" si="6"/>
        <v>249.6</v>
      </c>
      <c r="F56" s="297">
        <f t="shared" si="6"/>
        <v>244.44</v>
      </c>
      <c r="G56" s="298">
        <f t="shared" si="6"/>
        <v>314.04000000000002</v>
      </c>
      <c r="H56" s="298">
        <f t="shared" si="6"/>
        <v>381.23</v>
      </c>
      <c r="I56" s="298">
        <f t="shared" si="6"/>
        <v>508.64</v>
      </c>
      <c r="J56" s="298">
        <f t="shared" si="6"/>
        <v>653.87</v>
      </c>
      <c r="K56" s="298">
        <f t="shared" si="6"/>
        <v>324.14</v>
      </c>
      <c r="L56" s="298">
        <f t="shared" si="6"/>
        <v>314.68</v>
      </c>
    </row>
    <row r="57" spans="1:15">
      <c r="A57" s="268"/>
      <c r="B57" s="689" t="s">
        <v>48</v>
      </c>
      <c r="C57" s="299" t="str">
        <f>CONCATENATE("GILL/RAT (RAT ",D58," x FAP ",D59,")")</f>
        <v>GILL/RAT (RAT 0,03 x FAP 1)</v>
      </c>
      <c r="D57" s="300"/>
      <c r="E57" s="297"/>
      <c r="F57" s="297"/>
      <c r="G57" s="297"/>
      <c r="H57" s="297"/>
      <c r="I57" s="297"/>
      <c r="J57" s="297"/>
      <c r="K57" s="297"/>
      <c r="L57" s="297"/>
    </row>
    <row r="58" spans="1:15">
      <c r="A58" s="268"/>
      <c r="B58" s="689"/>
      <c r="C58" s="301" t="s">
        <v>104</v>
      </c>
      <c r="D58" s="302">
        <v>0.03</v>
      </c>
      <c r="E58" s="303"/>
      <c r="F58" s="303"/>
      <c r="G58" s="303"/>
      <c r="H58" s="303"/>
      <c r="I58" s="303"/>
      <c r="J58" s="303"/>
      <c r="K58" s="303"/>
      <c r="L58" s="303"/>
    </row>
    <row r="59" spans="1:15">
      <c r="A59" s="268"/>
      <c r="B59" s="689"/>
      <c r="C59" s="304" t="s">
        <v>105</v>
      </c>
      <c r="D59" s="305">
        <v>1</v>
      </c>
      <c r="E59" s="306"/>
      <c r="F59" s="306"/>
      <c r="G59" s="306"/>
      <c r="H59" s="306"/>
      <c r="I59" s="306"/>
      <c r="J59" s="306"/>
      <c r="K59" s="306"/>
      <c r="L59" s="306"/>
    </row>
    <row r="60" spans="1:15">
      <c r="A60" s="268"/>
      <c r="B60" s="689"/>
      <c r="C60" s="280"/>
      <c r="D60" s="307">
        <f>D59*D58</f>
        <v>0.03</v>
      </c>
      <c r="E60" s="308">
        <f t="shared" ref="E60:L61" si="7">IFERROR(ROUND($D60*E$40,2),"")</f>
        <v>93.6</v>
      </c>
      <c r="F60" s="308">
        <f t="shared" si="7"/>
        <v>91.67</v>
      </c>
      <c r="G60" s="308">
        <f t="shared" si="7"/>
        <v>117.77</v>
      </c>
      <c r="H60" s="308">
        <f t="shared" si="7"/>
        <v>142.96</v>
      </c>
      <c r="I60" s="308">
        <f t="shared" si="7"/>
        <v>190.74</v>
      </c>
      <c r="J60" s="308">
        <f t="shared" si="7"/>
        <v>245.2</v>
      </c>
      <c r="K60" s="308">
        <f t="shared" si="7"/>
        <v>121.55</v>
      </c>
      <c r="L60" s="308">
        <f t="shared" si="7"/>
        <v>118</v>
      </c>
    </row>
    <row r="61" spans="1:15">
      <c r="A61" s="287"/>
      <c r="B61" s="279" t="s">
        <v>50</v>
      </c>
      <c r="C61" s="280" t="s">
        <v>106</v>
      </c>
      <c r="D61" s="294">
        <f>IF(D14="Simples Nacional","",IFERROR(INDEX('BASE APOIO-NOTAS EXPLICATIVAS '!P:P,MATCH(C61,'BASE APOIO-NOTAS EXPLICATIVAS '!C:C,0)),""))</f>
        <v>6.0000000000000001E-3</v>
      </c>
      <c r="E61" s="283">
        <f t="shared" si="7"/>
        <v>18.72</v>
      </c>
      <c r="F61" s="283">
        <f t="shared" si="7"/>
        <v>18.329999999999998</v>
      </c>
      <c r="G61" s="283">
        <f t="shared" si="7"/>
        <v>23.55</v>
      </c>
      <c r="H61" s="283">
        <f t="shared" si="7"/>
        <v>28.59</v>
      </c>
      <c r="I61" s="283">
        <f t="shared" si="7"/>
        <v>38.15</v>
      </c>
      <c r="J61" s="283">
        <f t="shared" si="7"/>
        <v>49.04</v>
      </c>
      <c r="K61" s="283">
        <f t="shared" si="7"/>
        <v>24.31</v>
      </c>
      <c r="L61" s="283">
        <f t="shared" si="7"/>
        <v>23.6</v>
      </c>
      <c r="O61" s="251"/>
    </row>
    <row r="62" spans="1:15" s="263" customFormat="1">
      <c r="A62" s="287"/>
      <c r="B62" s="274"/>
      <c r="C62" s="275" t="s">
        <v>292</v>
      </c>
      <c r="D62" s="309">
        <f>SUM(D51:D56,D60,D61)</f>
        <v>0.3680000000000001</v>
      </c>
      <c r="E62" s="291">
        <f t="shared" ref="E62:L62" si="8">IF((SUM(E51:E56,E60,E61))=0,"",(SUM(E51:E56,E60,E61)))</f>
        <v>1148.1599999999999</v>
      </c>
      <c r="F62" s="291">
        <f t="shared" si="8"/>
        <v>1124.43</v>
      </c>
      <c r="G62" s="291">
        <f t="shared" si="8"/>
        <v>1444.59</v>
      </c>
      <c r="H62" s="291">
        <f t="shared" si="8"/>
        <v>1753.66</v>
      </c>
      <c r="I62" s="291">
        <f t="shared" si="8"/>
        <v>2339.7499999999995</v>
      </c>
      <c r="J62" s="291">
        <f t="shared" si="8"/>
        <v>3007.8099999999995</v>
      </c>
      <c r="K62" s="291">
        <f t="shared" si="8"/>
        <v>1491.0399999999997</v>
      </c>
      <c r="L62" s="291">
        <f t="shared" si="8"/>
        <v>1447.51</v>
      </c>
    </row>
    <row r="63" spans="1:15" ht="9.75" customHeight="1"/>
    <row r="64" spans="1:15" s="136" customFormat="1">
      <c r="A64" s="268"/>
      <c r="B64" s="274"/>
      <c r="C64" s="275" t="s">
        <v>108</v>
      </c>
      <c r="D64" s="276"/>
      <c r="E64" s="277"/>
      <c r="F64" s="277"/>
      <c r="G64" s="277"/>
      <c r="H64" s="277"/>
      <c r="I64" s="277"/>
      <c r="J64" s="277"/>
      <c r="K64" s="277"/>
      <c r="L64" s="278"/>
    </row>
    <row r="65" spans="1:13" s="36" customFormat="1">
      <c r="A65" s="268"/>
      <c r="B65" s="690" t="s">
        <v>35</v>
      </c>
      <c r="C65" s="310" t="s">
        <v>293</v>
      </c>
      <c r="D65" s="311"/>
      <c r="E65" s="312"/>
      <c r="F65" s="312"/>
      <c r="G65" s="312"/>
      <c r="H65" s="312"/>
      <c r="I65" s="312"/>
      <c r="J65" s="312"/>
      <c r="K65" s="312"/>
      <c r="L65" s="312"/>
    </row>
    <row r="66" spans="1:13">
      <c r="A66" s="268"/>
      <c r="B66" s="690"/>
      <c r="C66" s="301" t="s">
        <v>294</v>
      </c>
      <c r="D66" s="313"/>
      <c r="E66" s="314">
        <v>5.4</v>
      </c>
      <c r="F66" s="314">
        <v>5.4</v>
      </c>
      <c r="G66" s="314">
        <v>5.4</v>
      </c>
      <c r="H66" s="314">
        <v>5.4</v>
      </c>
      <c r="I66" s="314">
        <v>5.4</v>
      </c>
      <c r="J66" s="314">
        <v>5.4</v>
      </c>
      <c r="K66" s="314">
        <v>5.4</v>
      </c>
      <c r="L66" s="314">
        <v>5.4</v>
      </c>
    </row>
    <row r="67" spans="1:13">
      <c r="A67" s="268"/>
      <c r="B67" s="690"/>
      <c r="C67" s="248" t="s">
        <v>295</v>
      </c>
      <c r="D67" s="315"/>
      <c r="E67" s="316">
        <v>2</v>
      </c>
      <c r="F67" s="316">
        <v>2</v>
      </c>
      <c r="G67" s="316">
        <v>2</v>
      </c>
      <c r="H67" s="316">
        <v>2</v>
      </c>
      <c r="I67" s="316">
        <v>2</v>
      </c>
      <c r="J67" s="316">
        <v>2</v>
      </c>
      <c r="K67" s="316">
        <v>2</v>
      </c>
      <c r="L67" s="316">
        <v>2</v>
      </c>
    </row>
    <row r="68" spans="1:13">
      <c r="A68" s="268"/>
      <c r="B68" s="690"/>
      <c r="C68" s="248" t="s">
        <v>296</v>
      </c>
      <c r="D68" s="317"/>
      <c r="E68" s="318">
        <v>22</v>
      </c>
      <c r="F68" s="318">
        <v>22</v>
      </c>
      <c r="G68" s="318">
        <v>22</v>
      </c>
      <c r="H68" s="318">
        <v>22</v>
      </c>
      <c r="I68" s="318">
        <v>22</v>
      </c>
      <c r="J68" s="318">
        <v>22</v>
      </c>
      <c r="K68" s="318">
        <v>22</v>
      </c>
      <c r="L68" s="318">
        <v>22</v>
      </c>
      <c r="M68" s="251"/>
    </row>
    <row r="69" spans="1:13">
      <c r="A69" s="268"/>
      <c r="B69" s="690"/>
      <c r="C69" s="248" t="s">
        <v>297</v>
      </c>
      <c r="D69" s="317"/>
      <c r="E69" s="319">
        <f t="shared" ref="E69:L69" si="9">E66*E67*E68</f>
        <v>237.60000000000002</v>
      </c>
      <c r="F69" s="319">
        <f t="shared" si="9"/>
        <v>237.60000000000002</v>
      </c>
      <c r="G69" s="319">
        <f t="shared" si="9"/>
        <v>237.60000000000002</v>
      </c>
      <c r="H69" s="319">
        <f t="shared" si="9"/>
        <v>237.60000000000002</v>
      </c>
      <c r="I69" s="319">
        <f t="shared" si="9"/>
        <v>237.60000000000002</v>
      </c>
      <c r="J69" s="319">
        <f t="shared" si="9"/>
        <v>237.60000000000002</v>
      </c>
      <c r="K69" s="319">
        <f t="shared" si="9"/>
        <v>237.60000000000002</v>
      </c>
      <c r="L69" s="319">
        <f t="shared" si="9"/>
        <v>237.60000000000002</v>
      </c>
      <c r="M69" s="251"/>
    </row>
    <row r="70" spans="1:13">
      <c r="A70" s="268"/>
      <c r="B70" s="690"/>
      <c r="C70" s="248" t="s">
        <v>298</v>
      </c>
      <c r="D70" s="315"/>
      <c r="E70" s="320">
        <v>0.06</v>
      </c>
      <c r="F70" s="320">
        <v>0.06</v>
      </c>
      <c r="G70" s="320">
        <v>0.06</v>
      </c>
      <c r="H70" s="320">
        <v>0.06</v>
      </c>
      <c r="I70" s="320">
        <v>0.06</v>
      </c>
      <c r="J70" s="320">
        <v>0.06</v>
      </c>
      <c r="K70" s="320">
        <v>0.06</v>
      </c>
      <c r="L70" s="320">
        <v>0.06</v>
      </c>
      <c r="M70" s="251"/>
    </row>
    <row r="71" spans="1:13">
      <c r="A71" s="268"/>
      <c r="B71" s="690"/>
      <c r="C71" s="321" t="s">
        <v>299</v>
      </c>
      <c r="D71" s="322"/>
      <c r="E71" s="323">
        <f t="shared" ref="E71:L71" si="10">E31*E70</f>
        <v>148.29719999999998</v>
      </c>
      <c r="F71" s="323">
        <f t="shared" si="10"/>
        <v>183.3312</v>
      </c>
      <c r="G71" s="323">
        <f t="shared" si="10"/>
        <v>235.53119999999998</v>
      </c>
      <c r="H71" s="323">
        <f t="shared" si="10"/>
        <v>285.9246</v>
      </c>
      <c r="I71" s="323">
        <f t="shared" si="10"/>
        <v>381.4794</v>
      </c>
      <c r="J71" s="323">
        <f t="shared" si="10"/>
        <v>490.40459999999996</v>
      </c>
      <c r="K71" s="323">
        <f t="shared" si="10"/>
        <v>243.1062</v>
      </c>
      <c r="L71" s="323">
        <f t="shared" si="10"/>
        <v>197.10419999999999</v>
      </c>
      <c r="M71" s="251"/>
    </row>
    <row r="72" spans="1:13">
      <c r="A72" s="268"/>
      <c r="B72" s="690"/>
      <c r="C72" s="324" t="s">
        <v>300</v>
      </c>
      <c r="D72" s="325" t="s">
        <v>285</v>
      </c>
      <c r="E72" s="283">
        <f t="shared" ref="E72:L72" si="11">ROUND(IF((E66*E67*E68)-(E70*(E31))&gt;0,(E66*E67*E68)-(E70*(E31)),0),2)</f>
        <v>89.3</v>
      </c>
      <c r="F72" s="283">
        <f t="shared" si="11"/>
        <v>54.27</v>
      </c>
      <c r="G72" s="283">
        <f t="shared" si="11"/>
        <v>2.0699999999999998</v>
      </c>
      <c r="H72" s="283">
        <f t="shared" si="11"/>
        <v>0</v>
      </c>
      <c r="I72" s="283">
        <f t="shared" si="11"/>
        <v>0</v>
      </c>
      <c r="J72" s="283">
        <f t="shared" si="11"/>
        <v>0</v>
      </c>
      <c r="K72" s="283">
        <f t="shared" si="11"/>
        <v>0</v>
      </c>
      <c r="L72" s="283">
        <f t="shared" si="11"/>
        <v>40.5</v>
      </c>
    </row>
    <row r="73" spans="1:13">
      <c r="A73" s="268"/>
      <c r="B73" s="689" t="s">
        <v>37</v>
      </c>
      <c r="C73" s="326" t="s">
        <v>112</v>
      </c>
      <c r="D73" s="327"/>
      <c r="E73" s="283"/>
      <c r="F73" s="283"/>
      <c r="G73" s="283"/>
      <c r="H73" s="283"/>
      <c r="I73" s="283"/>
      <c r="J73" s="283"/>
      <c r="K73" s="283"/>
      <c r="L73" s="283"/>
    </row>
    <row r="74" spans="1:13">
      <c r="A74" s="268"/>
      <c r="B74" s="689"/>
      <c r="C74" s="328" t="s">
        <v>301</v>
      </c>
      <c r="D74" s="313"/>
      <c r="E74" s="314">
        <v>28.8</v>
      </c>
      <c r="F74" s="314">
        <v>28.8</v>
      </c>
      <c r="G74" s="314">
        <v>28.8</v>
      </c>
      <c r="H74" s="314">
        <v>28.8</v>
      </c>
      <c r="I74" s="314">
        <v>28.8</v>
      </c>
      <c r="J74" s="314">
        <v>28.8</v>
      </c>
      <c r="K74" s="314">
        <v>28.8</v>
      </c>
      <c r="L74" s="314">
        <v>28.8</v>
      </c>
    </row>
    <row r="75" spans="1:13">
      <c r="A75" s="268"/>
      <c r="B75" s="689"/>
      <c r="C75" s="329" t="s">
        <v>302</v>
      </c>
      <c r="D75" s="317"/>
      <c r="E75" s="318">
        <v>22</v>
      </c>
      <c r="F75" s="318">
        <v>22</v>
      </c>
      <c r="G75" s="318">
        <v>22</v>
      </c>
      <c r="H75" s="318">
        <v>22</v>
      </c>
      <c r="I75" s="318">
        <v>22</v>
      </c>
      <c r="J75" s="318">
        <v>22</v>
      </c>
      <c r="K75" s="318">
        <v>22</v>
      </c>
      <c r="L75" s="318">
        <v>22</v>
      </c>
    </row>
    <row r="76" spans="1:13">
      <c r="A76" s="268"/>
      <c r="B76" s="689"/>
      <c r="C76" s="329" t="s">
        <v>303</v>
      </c>
      <c r="D76" s="317"/>
      <c r="E76" s="330">
        <v>0.01</v>
      </c>
      <c r="F76" s="330">
        <v>0.01</v>
      </c>
      <c r="G76" s="330">
        <v>0.01</v>
      </c>
      <c r="H76" s="330">
        <v>0.01</v>
      </c>
      <c r="I76" s="330">
        <v>0.01</v>
      </c>
      <c r="J76" s="330">
        <v>0.01</v>
      </c>
      <c r="K76" s="330">
        <v>0.01</v>
      </c>
      <c r="L76" s="330">
        <v>0.01</v>
      </c>
    </row>
    <row r="77" spans="1:13">
      <c r="A77" s="268"/>
      <c r="B77" s="689"/>
      <c r="C77" s="331" t="s">
        <v>304</v>
      </c>
      <c r="D77" s="332"/>
      <c r="E77" s="323">
        <f t="shared" ref="E77:L77" si="12">E74*E75*E76</f>
        <v>6.3360000000000003</v>
      </c>
      <c r="F77" s="323">
        <f t="shared" si="12"/>
        <v>6.3360000000000003</v>
      </c>
      <c r="G77" s="323">
        <f t="shared" si="12"/>
        <v>6.3360000000000003</v>
      </c>
      <c r="H77" s="323">
        <f t="shared" si="12"/>
        <v>6.3360000000000003</v>
      </c>
      <c r="I77" s="323">
        <f t="shared" si="12"/>
        <v>6.3360000000000003</v>
      </c>
      <c r="J77" s="323">
        <f t="shared" si="12"/>
        <v>6.3360000000000003</v>
      </c>
      <c r="K77" s="323">
        <f t="shared" si="12"/>
        <v>6.3360000000000003</v>
      </c>
      <c r="L77" s="323">
        <f t="shared" si="12"/>
        <v>6.3360000000000003</v>
      </c>
    </row>
    <row r="78" spans="1:13">
      <c r="A78" s="268"/>
      <c r="B78" s="689"/>
      <c r="C78" s="333" t="s">
        <v>305</v>
      </c>
      <c r="D78" s="325" t="s">
        <v>285</v>
      </c>
      <c r="E78" s="334">
        <f t="shared" ref="E78:L78" si="13">IFERROR(ROUND((E74*E75)-(E$74*E$75*E$76),2),"")</f>
        <v>627.26</v>
      </c>
      <c r="F78" s="334">
        <f t="shared" si="13"/>
        <v>627.26</v>
      </c>
      <c r="G78" s="334">
        <f t="shared" si="13"/>
        <v>627.26</v>
      </c>
      <c r="H78" s="334">
        <f t="shared" si="13"/>
        <v>627.26</v>
      </c>
      <c r="I78" s="334">
        <f t="shared" si="13"/>
        <v>627.26</v>
      </c>
      <c r="J78" s="334">
        <f t="shared" si="13"/>
        <v>627.26</v>
      </c>
      <c r="K78" s="334">
        <f t="shared" si="13"/>
        <v>627.26</v>
      </c>
      <c r="L78" s="334">
        <f t="shared" si="13"/>
        <v>627.26</v>
      </c>
    </row>
    <row r="79" spans="1:13">
      <c r="A79" s="268"/>
      <c r="B79" s="689" t="s">
        <v>39</v>
      </c>
      <c r="C79" s="335" t="s">
        <v>306</v>
      </c>
      <c r="D79" s="336"/>
      <c r="E79" s="297"/>
      <c r="F79" s="297"/>
      <c r="G79" s="297"/>
      <c r="H79" s="297"/>
      <c r="I79" s="297"/>
      <c r="J79" s="297"/>
      <c r="K79" s="297"/>
      <c r="L79" s="297"/>
    </row>
    <row r="80" spans="1:13">
      <c r="A80" s="268"/>
      <c r="B80" s="689"/>
      <c r="C80" s="337" t="s">
        <v>307</v>
      </c>
      <c r="D80" s="338"/>
      <c r="E80" s="339">
        <v>73.78</v>
      </c>
      <c r="F80" s="339">
        <v>73.78</v>
      </c>
      <c r="G80" s="339">
        <v>73.78</v>
      </c>
      <c r="H80" s="339">
        <v>73.78</v>
      </c>
      <c r="I80" s="339">
        <v>73.78</v>
      </c>
      <c r="J80" s="339">
        <v>73.78</v>
      </c>
      <c r="K80" s="339">
        <v>73.78</v>
      </c>
      <c r="L80" s="339">
        <v>73.78</v>
      </c>
    </row>
    <row r="81" spans="1:17">
      <c r="A81" s="268"/>
      <c r="B81" s="689"/>
      <c r="C81" s="337" t="s">
        <v>308</v>
      </c>
      <c r="D81" s="332"/>
      <c r="E81" s="339">
        <v>73.78</v>
      </c>
      <c r="F81" s="339">
        <v>73.78</v>
      </c>
      <c r="G81" s="339">
        <v>73.78</v>
      </c>
      <c r="H81" s="339">
        <v>73.78</v>
      </c>
      <c r="I81" s="339">
        <v>73.78</v>
      </c>
      <c r="J81" s="339">
        <v>73.78</v>
      </c>
      <c r="K81" s="339">
        <v>73.78</v>
      </c>
      <c r="L81" s="339">
        <v>73.78</v>
      </c>
    </row>
    <row r="82" spans="1:17">
      <c r="A82" s="268"/>
      <c r="B82" s="689"/>
      <c r="C82" s="340" t="s">
        <v>309</v>
      </c>
      <c r="D82" s="341" t="s">
        <v>285</v>
      </c>
      <c r="E82" s="342">
        <f t="shared" ref="E82:L82" si="14">IF(E24="","",E80)</f>
        <v>73.78</v>
      </c>
      <c r="F82" s="342">
        <f t="shared" si="14"/>
        <v>73.78</v>
      </c>
      <c r="G82" s="342">
        <f t="shared" si="14"/>
        <v>73.78</v>
      </c>
      <c r="H82" s="342">
        <f t="shared" si="14"/>
        <v>73.78</v>
      </c>
      <c r="I82" s="342">
        <f t="shared" si="14"/>
        <v>73.78</v>
      </c>
      <c r="J82" s="342">
        <f t="shared" si="14"/>
        <v>73.78</v>
      </c>
      <c r="K82" s="342">
        <f t="shared" si="14"/>
        <v>73.78</v>
      </c>
      <c r="L82" s="342">
        <f t="shared" si="14"/>
        <v>73.78</v>
      </c>
    </row>
    <row r="83" spans="1:17">
      <c r="A83" s="268"/>
      <c r="B83" s="343" t="s">
        <v>41</v>
      </c>
      <c r="C83" s="618" t="s">
        <v>310</v>
      </c>
      <c r="D83" s="341" t="s">
        <v>285</v>
      </c>
      <c r="E83" s="344">
        <v>110.52</v>
      </c>
      <c r="F83" s="344">
        <v>110.52</v>
      </c>
      <c r="G83" s="344">
        <v>110.52</v>
      </c>
      <c r="H83" s="344">
        <v>110.52</v>
      </c>
      <c r="I83" s="344">
        <v>110.52</v>
      </c>
      <c r="J83" s="344">
        <v>110.52</v>
      </c>
      <c r="K83" s="344">
        <v>110.52</v>
      </c>
      <c r="L83" s="344">
        <v>110.52</v>
      </c>
    </row>
    <row r="84" spans="1:17">
      <c r="A84" s="268"/>
      <c r="B84" s="345" t="s">
        <v>311</v>
      </c>
      <c r="C84" s="625" t="s">
        <v>312</v>
      </c>
      <c r="D84" s="346">
        <v>1.2E-2</v>
      </c>
      <c r="E84" s="344">
        <f>(269.81*$D$84)*6/12</f>
        <v>1.61886</v>
      </c>
      <c r="F84" s="344">
        <f t="shared" ref="F84:L84" si="15">(269.81*$D$84)*6/12</f>
        <v>1.61886</v>
      </c>
      <c r="G84" s="344">
        <f t="shared" si="15"/>
        <v>1.61886</v>
      </c>
      <c r="H84" s="344">
        <f t="shared" si="15"/>
        <v>1.61886</v>
      </c>
      <c r="I84" s="344">
        <f t="shared" si="15"/>
        <v>1.61886</v>
      </c>
      <c r="J84" s="344">
        <f t="shared" si="15"/>
        <v>1.61886</v>
      </c>
      <c r="K84" s="344">
        <f t="shared" si="15"/>
        <v>1.61886</v>
      </c>
      <c r="L84" s="344">
        <f t="shared" si="15"/>
        <v>1.61886</v>
      </c>
    </row>
    <row r="85" spans="1:17" ht="36.75" customHeight="1">
      <c r="A85" s="268"/>
      <c r="B85" s="231" t="s">
        <v>46</v>
      </c>
      <c r="C85" s="624" t="s">
        <v>313</v>
      </c>
      <c r="D85" s="346">
        <v>0</v>
      </c>
      <c r="E85" s="347">
        <f t="shared" ref="E85:L85" si="16">((E24*3)*$D$85/12)</f>
        <v>0</v>
      </c>
      <c r="F85" s="348">
        <f t="shared" si="16"/>
        <v>0</v>
      </c>
      <c r="G85" s="348">
        <f t="shared" si="16"/>
        <v>0</v>
      </c>
      <c r="H85" s="348">
        <f t="shared" si="16"/>
        <v>0</v>
      </c>
      <c r="I85" s="348">
        <f t="shared" si="16"/>
        <v>0</v>
      </c>
      <c r="J85" s="348">
        <f t="shared" si="16"/>
        <v>0</v>
      </c>
      <c r="K85" s="348">
        <f t="shared" si="16"/>
        <v>0</v>
      </c>
      <c r="L85" s="348">
        <f t="shared" si="16"/>
        <v>0</v>
      </c>
    </row>
    <row r="86" spans="1:17" s="263" customFormat="1">
      <c r="A86" s="287"/>
      <c r="B86" s="274"/>
      <c r="C86" s="275" t="s">
        <v>314</v>
      </c>
      <c r="D86" s="349"/>
      <c r="E86" s="350">
        <f t="shared" ref="E86:L86" si="17">IF(E24="","",SUM(E72,E78,E82,E83,E84,E85))</f>
        <v>902.47885999999994</v>
      </c>
      <c r="F86" s="350">
        <f t="shared" si="17"/>
        <v>867.44885999999997</v>
      </c>
      <c r="G86" s="350">
        <f t="shared" si="17"/>
        <v>815.24886000000004</v>
      </c>
      <c r="H86" s="350">
        <f t="shared" si="17"/>
        <v>813.17885999999999</v>
      </c>
      <c r="I86" s="350">
        <f t="shared" si="17"/>
        <v>813.17885999999999</v>
      </c>
      <c r="J86" s="350">
        <f t="shared" si="17"/>
        <v>813.17885999999999</v>
      </c>
      <c r="K86" s="350">
        <f t="shared" si="17"/>
        <v>813.17885999999999</v>
      </c>
      <c r="L86" s="350">
        <f t="shared" si="17"/>
        <v>853.67885999999999</v>
      </c>
    </row>
    <row r="87" spans="1:17" ht="15" customHeight="1"/>
    <row r="88" spans="1:17" s="263" customFormat="1">
      <c r="A88" s="259"/>
      <c r="B88" s="260"/>
      <c r="C88" s="226" t="s">
        <v>315</v>
      </c>
      <c r="D88" s="261"/>
      <c r="E88" s="351">
        <f t="shared" ref="E88:L88" si="18">IF(E24="","",IFERROR(SUM(E86,E62,E48),""))</f>
        <v>2880.36886</v>
      </c>
      <c r="F88" s="351">
        <f t="shared" si="18"/>
        <v>2804.4588600000002</v>
      </c>
      <c r="G88" s="262">
        <f t="shared" si="18"/>
        <v>3303.7988599999999</v>
      </c>
      <c r="H88" s="262">
        <f t="shared" si="18"/>
        <v>3834.1488600000002</v>
      </c>
      <c r="I88" s="262">
        <f t="shared" si="18"/>
        <v>4843.7688600000001</v>
      </c>
      <c r="J88" s="262">
        <f t="shared" si="18"/>
        <v>5994.6288599999998</v>
      </c>
      <c r="K88" s="262">
        <f t="shared" si="18"/>
        <v>3381.7388599999999</v>
      </c>
      <c r="L88" s="262">
        <f t="shared" si="18"/>
        <v>3347.2588600000004</v>
      </c>
    </row>
    <row r="89" spans="1:17" s="136" customFormat="1">
      <c r="B89" s="352"/>
      <c r="C89" s="352"/>
      <c r="D89" s="352"/>
      <c r="E89" s="353"/>
      <c r="F89" s="353"/>
      <c r="G89" s="353"/>
      <c r="H89" s="353"/>
      <c r="I89" s="353"/>
      <c r="J89" s="353"/>
      <c r="K89" s="353"/>
      <c r="L89" s="353"/>
    </row>
    <row r="90" spans="1:17" s="136" customFormat="1">
      <c r="B90" s="687" t="s">
        <v>316</v>
      </c>
      <c r="C90" s="687"/>
      <c r="D90" s="355" t="s">
        <v>317</v>
      </c>
      <c r="E90" s="356">
        <f t="shared" ref="E90:L90" si="19">E40</f>
        <v>3120.02</v>
      </c>
      <c r="F90" s="357">
        <f t="shared" si="19"/>
        <v>3055.52</v>
      </c>
      <c r="G90" s="358">
        <f t="shared" si="19"/>
        <v>3925.52</v>
      </c>
      <c r="H90" s="358">
        <f t="shared" si="19"/>
        <v>4765.41</v>
      </c>
      <c r="I90" s="358">
        <f t="shared" si="19"/>
        <v>6357.99</v>
      </c>
      <c r="J90" s="358">
        <f t="shared" si="19"/>
        <v>8173.41</v>
      </c>
      <c r="K90" s="358">
        <f t="shared" si="19"/>
        <v>4051.77</v>
      </c>
      <c r="L90" s="358">
        <f t="shared" si="19"/>
        <v>3933.4700000000003</v>
      </c>
    </row>
    <row r="91" spans="1:17" s="136" customFormat="1">
      <c r="B91" s="687"/>
      <c r="C91" s="687"/>
      <c r="D91" s="354" t="s">
        <v>318</v>
      </c>
      <c r="E91" s="356">
        <f t="shared" ref="E91:L91" si="20">IF(E24="","",E48-E47)</f>
        <v>606.53</v>
      </c>
      <c r="F91" s="359">
        <f t="shared" si="20"/>
        <v>593.99</v>
      </c>
      <c r="G91" s="356">
        <f t="shared" si="20"/>
        <v>763.13000000000011</v>
      </c>
      <c r="H91" s="356">
        <f t="shared" si="20"/>
        <v>926.40000000000009</v>
      </c>
      <c r="I91" s="356">
        <f t="shared" si="20"/>
        <v>1235.9900000000002</v>
      </c>
      <c r="J91" s="356">
        <f t="shared" si="20"/>
        <v>1588.9200000000003</v>
      </c>
      <c r="K91" s="356">
        <f t="shared" si="20"/>
        <v>787.66</v>
      </c>
      <c r="L91" s="356">
        <f t="shared" si="20"/>
        <v>764.67000000000019</v>
      </c>
    </row>
    <row r="92" spans="1:17" s="136" customFormat="1">
      <c r="B92" s="687"/>
      <c r="C92" s="687"/>
      <c r="D92" s="354" t="s">
        <v>319</v>
      </c>
      <c r="E92" s="356">
        <f t="shared" ref="E92:L92" si="21">IF(E24="","",E48-E47-E46)</f>
        <v>259.89999999999998</v>
      </c>
      <c r="F92" s="356">
        <f t="shared" si="21"/>
        <v>254.51999999999998</v>
      </c>
      <c r="G92" s="356">
        <f t="shared" si="21"/>
        <v>327.00000000000011</v>
      </c>
      <c r="H92" s="356">
        <f t="shared" si="21"/>
        <v>396.96000000000004</v>
      </c>
      <c r="I92" s="356">
        <f t="shared" si="21"/>
        <v>529.62000000000023</v>
      </c>
      <c r="J92" s="356">
        <f t="shared" si="21"/>
        <v>680.85000000000025</v>
      </c>
      <c r="K92" s="356">
        <f t="shared" si="21"/>
        <v>337.51</v>
      </c>
      <c r="L92" s="356">
        <f t="shared" si="21"/>
        <v>327.6600000000002</v>
      </c>
    </row>
    <row r="93" spans="1:17" s="136" customFormat="1">
      <c r="B93" s="352"/>
      <c r="C93" s="352"/>
      <c r="D93" s="352"/>
      <c r="E93" s="353"/>
      <c r="F93" s="353"/>
      <c r="G93" s="353"/>
      <c r="H93" s="353"/>
      <c r="I93" s="353"/>
      <c r="J93" s="353"/>
      <c r="K93" s="353"/>
      <c r="L93" s="353"/>
    </row>
    <row r="94" spans="1:17" s="136" customFormat="1">
      <c r="A94" s="268"/>
      <c r="B94" s="269"/>
      <c r="C94" s="226" t="s">
        <v>129</v>
      </c>
      <c r="D94" s="270"/>
      <c r="E94" s="271"/>
      <c r="F94" s="271"/>
      <c r="G94" s="271"/>
      <c r="H94" s="271"/>
      <c r="I94" s="271"/>
      <c r="J94" s="271"/>
      <c r="K94" s="271"/>
      <c r="L94" s="272"/>
      <c r="M94" s="360"/>
      <c r="N94" s="361"/>
      <c r="O94" s="361"/>
      <c r="P94" s="361"/>
      <c r="Q94" s="361"/>
    </row>
    <row r="95" spans="1:17" s="366" customFormat="1" ht="30" customHeight="1">
      <c r="A95" s="362"/>
      <c r="B95" s="279" t="s">
        <v>35</v>
      </c>
      <c r="C95" s="363" t="s">
        <v>320</v>
      </c>
      <c r="D95" s="364">
        <f>'BASE APOIO-NOTAS EXPLICATIVAS '!H62</f>
        <v>4.1666666666666666E-3</v>
      </c>
      <c r="E95" s="283">
        <f t="shared" ref="E95:L95" si="22">IFERROR(ROUND($D95*(E$90+E$91),2),"")</f>
        <v>15.53</v>
      </c>
      <c r="F95" s="283">
        <f t="shared" si="22"/>
        <v>15.21</v>
      </c>
      <c r="G95" s="283">
        <f t="shared" si="22"/>
        <v>19.54</v>
      </c>
      <c r="H95" s="283">
        <f t="shared" si="22"/>
        <v>23.72</v>
      </c>
      <c r="I95" s="283">
        <f t="shared" si="22"/>
        <v>31.64</v>
      </c>
      <c r="J95" s="283">
        <f t="shared" si="22"/>
        <v>40.68</v>
      </c>
      <c r="K95" s="283">
        <f t="shared" si="22"/>
        <v>20.16</v>
      </c>
      <c r="L95" s="283">
        <f t="shared" si="22"/>
        <v>19.579999999999998</v>
      </c>
      <c r="M95" s="365"/>
      <c r="N95" s="365"/>
      <c r="O95" s="365"/>
      <c r="P95" s="365"/>
      <c r="Q95" s="365"/>
    </row>
    <row r="96" spans="1:17" s="366" customFormat="1">
      <c r="A96" s="362"/>
      <c r="B96" s="279" t="s">
        <v>37</v>
      </c>
      <c r="C96" s="280" t="s">
        <v>141</v>
      </c>
      <c r="D96" s="367">
        <f>D95*D56</f>
        <v>3.3333333333333332E-4</v>
      </c>
      <c r="E96" s="283">
        <f t="shared" ref="E96:L96" si="23">IFERROR(ROUND($D96*(E$90+E$92),2),"")</f>
        <v>1.1299999999999999</v>
      </c>
      <c r="F96" s="283">
        <f t="shared" si="23"/>
        <v>1.1000000000000001</v>
      </c>
      <c r="G96" s="283">
        <f t="shared" si="23"/>
        <v>1.42</v>
      </c>
      <c r="H96" s="283">
        <f t="shared" si="23"/>
        <v>1.72</v>
      </c>
      <c r="I96" s="283">
        <f t="shared" si="23"/>
        <v>2.2999999999999998</v>
      </c>
      <c r="J96" s="283">
        <f t="shared" si="23"/>
        <v>2.95</v>
      </c>
      <c r="K96" s="283">
        <f t="shared" si="23"/>
        <v>1.46</v>
      </c>
      <c r="L96" s="283">
        <f t="shared" si="23"/>
        <v>1.42</v>
      </c>
      <c r="M96" s="365"/>
      <c r="N96" s="365"/>
      <c r="O96" s="365"/>
      <c r="P96" s="365"/>
      <c r="Q96" s="365"/>
    </row>
    <row r="97" spans="1:17" s="366" customFormat="1" ht="31.5" customHeight="1">
      <c r="A97" s="362"/>
      <c r="B97" s="279" t="s">
        <v>39</v>
      </c>
      <c r="C97" s="363" t="s">
        <v>321</v>
      </c>
      <c r="D97" s="368">
        <f>'BASE APOIO-NOTAS EXPLICATIVAS '!H64</f>
        <v>1.9444444444444445E-2</v>
      </c>
      <c r="E97" s="283">
        <f t="shared" ref="E97:L99" si="24">IFERROR(ROUND($D97*E$90,2),"")</f>
        <v>60.67</v>
      </c>
      <c r="F97" s="283">
        <f t="shared" si="24"/>
        <v>59.41</v>
      </c>
      <c r="G97" s="283">
        <f t="shared" si="24"/>
        <v>76.33</v>
      </c>
      <c r="H97" s="283">
        <f t="shared" si="24"/>
        <v>92.66</v>
      </c>
      <c r="I97" s="283">
        <f t="shared" si="24"/>
        <v>123.63</v>
      </c>
      <c r="J97" s="283">
        <f t="shared" si="24"/>
        <v>158.93</v>
      </c>
      <c r="K97" s="283">
        <f t="shared" si="24"/>
        <v>78.78</v>
      </c>
      <c r="L97" s="283">
        <f t="shared" si="24"/>
        <v>76.48</v>
      </c>
      <c r="M97" s="365"/>
      <c r="N97" s="365"/>
      <c r="O97" s="365"/>
      <c r="P97" s="365"/>
      <c r="Q97" s="365"/>
    </row>
    <row r="98" spans="1:17" s="366" customFormat="1" ht="30" customHeight="1">
      <c r="A98" s="362"/>
      <c r="B98" s="279" t="s">
        <v>41</v>
      </c>
      <c r="C98" s="369" t="s">
        <v>322</v>
      </c>
      <c r="D98" s="367">
        <f>IF(E24="","",D97*(SUM(D51:D56,D60,D61)))</f>
        <v>7.1555555555555574E-3</v>
      </c>
      <c r="E98" s="283">
        <f t="shared" si="24"/>
        <v>22.33</v>
      </c>
      <c r="F98" s="283">
        <f t="shared" si="24"/>
        <v>21.86</v>
      </c>
      <c r="G98" s="283">
        <f t="shared" si="24"/>
        <v>28.09</v>
      </c>
      <c r="H98" s="283">
        <f t="shared" si="24"/>
        <v>34.1</v>
      </c>
      <c r="I98" s="283">
        <f t="shared" si="24"/>
        <v>45.49</v>
      </c>
      <c r="J98" s="283">
        <f t="shared" si="24"/>
        <v>58.49</v>
      </c>
      <c r="K98" s="283">
        <f t="shared" si="24"/>
        <v>28.99</v>
      </c>
      <c r="L98" s="283">
        <f t="shared" si="24"/>
        <v>28.15</v>
      </c>
      <c r="M98" s="365"/>
      <c r="N98" s="365"/>
      <c r="O98" s="365"/>
      <c r="P98" s="365"/>
      <c r="Q98" s="365"/>
    </row>
    <row r="99" spans="1:17" s="366" customFormat="1" ht="30" customHeight="1">
      <c r="A99" s="362"/>
      <c r="B99" s="279" t="s">
        <v>44</v>
      </c>
      <c r="C99" s="363" t="s">
        <v>323</v>
      </c>
      <c r="D99" s="370">
        <f>'BASE APOIO-NOTAS EXPLICATIVAS '!H66</f>
        <v>0.04</v>
      </c>
      <c r="E99" s="283">
        <f t="shared" si="24"/>
        <v>124.8</v>
      </c>
      <c r="F99" s="283">
        <f t="shared" si="24"/>
        <v>122.22</v>
      </c>
      <c r="G99" s="283">
        <f t="shared" si="24"/>
        <v>157.02000000000001</v>
      </c>
      <c r="H99" s="283">
        <f t="shared" si="24"/>
        <v>190.62</v>
      </c>
      <c r="I99" s="283">
        <f t="shared" si="24"/>
        <v>254.32</v>
      </c>
      <c r="J99" s="283">
        <f t="shared" si="24"/>
        <v>326.94</v>
      </c>
      <c r="K99" s="283">
        <f t="shared" si="24"/>
        <v>162.07</v>
      </c>
      <c r="L99" s="283">
        <f t="shared" si="24"/>
        <v>157.34</v>
      </c>
      <c r="M99" s="365"/>
      <c r="N99" s="365"/>
      <c r="O99" s="365"/>
      <c r="P99" s="365"/>
      <c r="Q99" s="365"/>
    </row>
    <row r="100" spans="1:17" s="263" customFormat="1">
      <c r="A100" s="259"/>
      <c r="B100" s="260"/>
      <c r="C100" s="226" t="s">
        <v>324</v>
      </c>
      <c r="D100" s="371">
        <f>SUM(D95:D99)</f>
        <v>7.1099999999999997E-2</v>
      </c>
      <c r="E100" s="262">
        <f t="shared" ref="E100:L100" si="25">IF(SUM(E95:E99)=0,"",SUM(E95:E99))</f>
        <v>224.45999999999998</v>
      </c>
      <c r="F100" s="262">
        <f t="shared" si="25"/>
        <v>219.8</v>
      </c>
      <c r="G100" s="262">
        <f t="shared" si="25"/>
        <v>282.39999999999998</v>
      </c>
      <c r="H100" s="262">
        <f t="shared" si="25"/>
        <v>342.82</v>
      </c>
      <c r="I100" s="262">
        <f t="shared" si="25"/>
        <v>457.38</v>
      </c>
      <c r="J100" s="262">
        <f t="shared" si="25"/>
        <v>587.99</v>
      </c>
      <c r="K100" s="262">
        <f t="shared" si="25"/>
        <v>291.46000000000004</v>
      </c>
      <c r="L100" s="262">
        <f t="shared" si="25"/>
        <v>282.97000000000003</v>
      </c>
      <c r="M100" s="372"/>
      <c r="N100" s="372"/>
      <c r="O100" s="372"/>
      <c r="P100" s="372"/>
      <c r="Q100" s="372"/>
    </row>
    <row r="101" spans="1:17" s="376" customFormat="1">
      <c r="A101" s="230"/>
      <c r="B101" s="373"/>
      <c r="C101" s="373"/>
      <c r="D101" s="374"/>
      <c r="E101" s="375"/>
      <c r="F101" s="375"/>
      <c r="G101" s="375"/>
      <c r="H101" s="375"/>
      <c r="I101" s="375"/>
      <c r="J101" s="375"/>
      <c r="K101" s="375"/>
      <c r="L101" s="375"/>
    </row>
    <row r="102" spans="1:17" s="376" customFormat="1">
      <c r="A102" s="230"/>
      <c r="B102" s="687" t="s">
        <v>325</v>
      </c>
      <c r="C102" s="687"/>
      <c r="D102" s="355" t="s">
        <v>317</v>
      </c>
      <c r="E102" s="356">
        <f t="shared" ref="E102:L102" si="26">E40</f>
        <v>3120.02</v>
      </c>
      <c r="F102" s="377">
        <f t="shared" si="26"/>
        <v>3055.52</v>
      </c>
      <c r="G102" s="356">
        <f t="shared" si="26"/>
        <v>3925.52</v>
      </c>
      <c r="H102" s="356">
        <f t="shared" si="26"/>
        <v>4765.41</v>
      </c>
      <c r="I102" s="356">
        <f t="shared" si="26"/>
        <v>6357.99</v>
      </c>
      <c r="J102" s="356">
        <f t="shared" si="26"/>
        <v>8173.41</v>
      </c>
      <c r="K102" s="356">
        <f t="shared" si="26"/>
        <v>4051.77</v>
      </c>
      <c r="L102" s="356">
        <f t="shared" si="26"/>
        <v>3933.4700000000003</v>
      </c>
    </row>
    <row r="103" spans="1:17" s="376" customFormat="1">
      <c r="A103" s="230"/>
      <c r="B103" s="687"/>
      <c r="C103" s="687"/>
      <c r="D103" s="354" t="s">
        <v>318</v>
      </c>
      <c r="E103" s="356">
        <f t="shared" ref="E103:L103" si="27">IF(E40="","",E48-E47)</f>
        <v>606.53</v>
      </c>
      <c r="F103" s="356">
        <f t="shared" si="27"/>
        <v>593.99</v>
      </c>
      <c r="G103" s="356">
        <f t="shared" si="27"/>
        <v>763.13000000000011</v>
      </c>
      <c r="H103" s="356">
        <f t="shared" si="27"/>
        <v>926.40000000000009</v>
      </c>
      <c r="I103" s="356">
        <f t="shared" si="27"/>
        <v>1235.9900000000002</v>
      </c>
      <c r="J103" s="356">
        <f t="shared" si="27"/>
        <v>1588.9200000000003</v>
      </c>
      <c r="K103" s="356">
        <f t="shared" si="27"/>
        <v>787.66</v>
      </c>
      <c r="L103" s="356">
        <f t="shared" si="27"/>
        <v>764.67000000000019</v>
      </c>
    </row>
    <row r="104" spans="1:17" s="376" customFormat="1">
      <c r="A104" s="230"/>
      <c r="B104" s="687"/>
      <c r="C104" s="687"/>
      <c r="D104" s="354" t="s">
        <v>326</v>
      </c>
      <c r="E104" s="356">
        <f t="shared" ref="E104:L104" si="28">IF(E40="","",E86-E72-E78)</f>
        <v>185.91886</v>
      </c>
      <c r="F104" s="356">
        <f t="shared" si="28"/>
        <v>185.91886</v>
      </c>
      <c r="G104" s="356">
        <f t="shared" si="28"/>
        <v>185.91886</v>
      </c>
      <c r="H104" s="356">
        <f t="shared" si="28"/>
        <v>185.91886</v>
      </c>
      <c r="I104" s="356">
        <f t="shared" si="28"/>
        <v>185.91886</v>
      </c>
      <c r="J104" s="356">
        <f t="shared" si="28"/>
        <v>185.91886</v>
      </c>
      <c r="K104" s="356">
        <f t="shared" si="28"/>
        <v>185.91886</v>
      </c>
      <c r="L104" s="356">
        <f t="shared" si="28"/>
        <v>185.91886</v>
      </c>
    </row>
    <row r="105" spans="1:17" s="376" customFormat="1">
      <c r="A105" s="230"/>
      <c r="B105" s="687"/>
      <c r="C105" s="687"/>
      <c r="D105" s="354" t="s">
        <v>327</v>
      </c>
      <c r="E105" s="356">
        <f t="shared" ref="E105:L105" si="29">E100</f>
        <v>224.45999999999998</v>
      </c>
      <c r="F105" s="377">
        <f t="shared" si="29"/>
        <v>219.8</v>
      </c>
      <c r="G105" s="356">
        <f t="shared" si="29"/>
        <v>282.39999999999998</v>
      </c>
      <c r="H105" s="356">
        <f t="shared" si="29"/>
        <v>342.82</v>
      </c>
      <c r="I105" s="356">
        <f t="shared" si="29"/>
        <v>457.38</v>
      </c>
      <c r="J105" s="356">
        <f t="shared" si="29"/>
        <v>587.99</v>
      </c>
      <c r="K105" s="356">
        <f t="shared" si="29"/>
        <v>291.46000000000004</v>
      </c>
      <c r="L105" s="356">
        <f t="shared" si="29"/>
        <v>282.97000000000003</v>
      </c>
    </row>
    <row r="106" spans="1:17" s="376" customFormat="1">
      <c r="A106" s="230"/>
      <c r="B106" s="687"/>
      <c r="C106" s="687"/>
      <c r="D106" s="354" t="s">
        <v>328</v>
      </c>
      <c r="E106" s="378">
        <f t="shared" ref="E106:L106" si="30">SUM(E102:E105)</f>
        <v>4136.92886</v>
      </c>
      <c r="F106" s="379">
        <f t="shared" si="30"/>
        <v>4055.2288600000002</v>
      </c>
      <c r="G106" s="378">
        <f t="shared" si="30"/>
        <v>5156.968859999999</v>
      </c>
      <c r="H106" s="378">
        <f t="shared" si="30"/>
        <v>6220.548859999999</v>
      </c>
      <c r="I106" s="378">
        <f t="shared" si="30"/>
        <v>8237.2788599999985</v>
      </c>
      <c r="J106" s="378">
        <f t="shared" si="30"/>
        <v>10536.238859999999</v>
      </c>
      <c r="K106" s="378">
        <f t="shared" si="30"/>
        <v>5316.8088600000001</v>
      </c>
      <c r="L106" s="378">
        <f t="shared" si="30"/>
        <v>5167.0288600000003</v>
      </c>
    </row>
    <row r="107" spans="1:17" s="376" customFormat="1">
      <c r="A107" s="230"/>
      <c r="B107" s="373"/>
      <c r="C107" s="373"/>
      <c r="D107" s="374"/>
      <c r="E107" s="375"/>
      <c r="F107" s="375"/>
      <c r="G107" s="375"/>
      <c r="H107" s="375"/>
      <c r="I107" s="375"/>
      <c r="J107" s="375"/>
      <c r="K107" s="375"/>
      <c r="L107" s="375"/>
    </row>
    <row r="108" spans="1:17" s="136" customFormat="1">
      <c r="A108" s="268"/>
      <c r="B108" s="269"/>
      <c r="C108" s="226" t="s">
        <v>155</v>
      </c>
      <c r="D108" s="270"/>
      <c r="E108" s="271"/>
      <c r="F108" s="271"/>
      <c r="G108" s="271"/>
      <c r="H108" s="271"/>
      <c r="I108" s="271"/>
      <c r="J108" s="271"/>
      <c r="K108" s="271"/>
      <c r="L108" s="272"/>
    </row>
    <row r="109" spans="1:17" ht="5.25" customHeight="1"/>
    <row r="110" spans="1:17" s="136" customFormat="1" ht="30">
      <c r="A110" s="273"/>
      <c r="B110" s="274"/>
      <c r="C110" s="380" t="s">
        <v>329</v>
      </c>
      <c r="D110" s="276"/>
      <c r="E110" s="277"/>
      <c r="F110" s="277"/>
      <c r="G110" s="277"/>
      <c r="H110" s="277"/>
      <c r="I110" s="277"/>
      <c r="J110" s="277"/>
      <c r="K110" s="277"/>
      <c r="L110" s="278"/>
    </row>
    <row r="111" spans="1:17" s="366" customFormat="1" ht="30" customHeight="1">
      <c r="A111" s="381"/>
      <c r="B111" s="279" t="s">
        <v>35</v>
      </c>
      <c r="C111" s="363" t="s">
        <v>330</v>
      </c>
      <c r="D111" s="382">
        <v>1.6199999999999999E-2</v>
      </c>
      <c r="E111" s="237">
        <f t="shared" ref="E111:L111" si="31">IF(E24="","",IFERROR(ROUND($D111*E$102,2),""))</f>
        <v>50.54</v>
      </c>
      <c r="F111" s="237">
        <f t="shared" si="31"/>
        <v>49.5</v>
      </c>
      <c r="G111" s="237">
        <f t="shared" si="31"/>
        <v>63.59</v>
      </c>
      <c r="H111" s="237">
        <f t="shared" si="31"/>
        <v>77.2</v>
      </c>
      <c r="I111" s="237">
        <f t="shared" si="31"/>
        <v>103</v>
      </c>
      <c r="J111" s="237">
        <f t="shared" si="31"/>
        <v>132.41</v>
      </c>
      <c r="K111" s="237">
        <f t="shared" si="31"/>
        <v>65.64</v>
      </c>
      <c r="L111" s="237">
        <f t="shared" si="31"/>
        <v>63.72</v>
      </c>
      <c r="M111" s="383"/>
    </row>
    <row r="112" spans="1:17" s="366" customFormat="1" ht="30" customHeight="1">
      <c r="A112" s="381"/>
      <c r="B112" s="279" t="s">
        <v>37</v>
      </c>
      <c r="C112" s="363" t="s">
        <v>331</v>
      </c>
      <c r="D112" s="368">
        <f>'BASE APOIO-NOTAS EXPLICATIVAS '!H81</f>
        <v>1.3888888888888888E-2</v>
      </c>
      <c r="E112" s="283">
        <f t="shared" ref="E112:L112" si="32">IF(E24="","",IFERROR(ROUND($D112*E$106,2),""))</f>
        <v>57.46</v>
      </c>
      <c r="F112" s="283">
        <f t="shared" si="32"/>
        <v>56.32</v>
      </c>
      <c r="G112" s="283">
        <f t="shared" si="32"/>
        <v>71.62</v>
      </c>
      <c r="H112" s="283">
        <f t="shared" si="32"/>
        <v>86.4</v>
      </c>
      <c r="I112" s="283">
        <f t="shared" si="32"/>
        <v>114.41</v>
      </c>
      <c r="J112" s="283">
        <f t="shared" si="32"/>
        <v>146.34</v>
      </c>
      <c r="K112" s="283">
        <f t="shared" si="32"/>
        <v>73.84</v>
      </c>
      <c r="L112" s="283">
        <f t="shared" si="32"/>
        <v>71.760000000000005</v>
      </c>
      <c r="M112" s="383"/>
    </row>
    <row r="113" spans="1:14" s="366" customFormat="1" ht="33" customHeight="1">
      <c r="A113" s="381"/>
      <c r="B113" s="279" t="s">
        <v>39</v>
      </c>
      <c r="C113" s="363" t="s">
        <v>332</v>
      </c>
      <c r="D113" s="368">
        <f>'BASE APOIO-NOTAS EXPLICATIVAS '!H82</f>
        <v>2.0833333333333332E-4</v>
      </c>
      <c r="E113" s="283">
        <f t="shared" ref="E113:L113" si="33">IF(E24="","",IFERROR(ROUND($D113*E$106,2),""))</f>
        <v>0.86</v>
      </c>
      <c r="F113" s="283">
        <f t="shared" si="33"/>
        <v>0.84</v>
      </c>
      <c r="G113" s="283">
        <f t="shared" si="33"/>
        <v>1.07</v>
      </c>
      <c r="H113" s="283">
        <f t="shared" si="33"/>
        <v>1.3</v>
      </c>
      <c r="I113" s="283">
        <f t="shared" si="33"/>
        <v>1.72</v>
      </c>
      <c r="J113" s="283">
        <f t="shared" si="33"/>
        <v>2.2000000000000002</v>
      </c>
      <c r="K113" s="283">
        <f t="shared" si="33"/>
        <v>1.1100000000000001</v>
      </c>
      <c r="L113" s="283">
        <f t="shared" si="33"/>
        <v>1.08</v>
      </c>
      <c r="M113" s="383"/>
    </row>
    <row r="114" spans="1:14" s="366" customFormat="1" ht="30" customHeight="1">
      <c r="A114" s="381"/>
      <c r="B114" s="279" t="s">
        <v>41</v>
      </c>
      <c r="C114" s="363" t="s">
        <v>333</v>
      </c>
      <c r="D114" s="368">
        <f>'BASE APOIO-NOTAS EXPLICATIVAS '!H83</f>
        <v>8.2222222222222228E-3</v>
      </c>
      <c r="E114" s="283">
        <f t="shared" ref="E114:L114" si="34">IF(E24="","",IFERROR(ROUND($D114*E$106,2),""))</f>
        <v>34.01</v>
      </c>
      <c r="F114" s="283">
        <f t="shared" si="34"/>
        <v>33.340000000000003</v>
      </c>
      <c r="G114" s="283">
        <f t="shared" si="34"/>
        <v>42.4</v>
      </c>
      <c r="H114" s="283">
        <f t="shared" si="34"/>
        <v>51.15</v>
      </c>
      <c r="I114" s="283">
        <f t="shared" si="34"/>
        <v>67.73</v>
      </c>
      <c r="J114" s="283">
        <f t="shared" si="34"/>
        <v>86.63</v>
      </c>
      <c r="K114" s="283">
        <f t="shared" si="34"/>
        <v>43.72</v>
      </c>
      <c r="L114" s="283">
        <f t="shared" si="34"/>
        <v>42.48</v>
      </c>
      <c r="M114" s="383"/>
    </row>
    <row r="115" spans="1:14" s="366" customFormat="1" ht="45" customHeight="1">
      <c r="A115" s="381"/>
      <c r="B115" s="279" t="s">
        <v>44</v>
      </c>
      <c r="C115" s="369" t="s">
        <v>334</v>
      </c>
      <c r="D115" s="368">
        <f>'BASE APOIO-NOTAS EXPLICATIVAS '!H84</f>
        <v>1.3888888888888888E-2</v>
      </c>
      <c r="E115" s="283">
        <f t="shared" ref="E115:L115" si="35">IF(E24="","",IFERROR(ROUND($D115*E$106,2),""))</f>
        <v>57.46</v>
      </c>
      <c r="F115" s="283">
        <f t="shared" si="35"/>
        <v>56.32</v>
      </c>
      <c r="G115" s="283">
        <f t="shared" si="35"/>
        <v>71.62</v>
      </c>
      <c r="H115" s="283">
        <f t="shared" si="35"/>
        <v>86.4</v>
      </c>
      <c r="I115" s="283">
        <f t="shared" si="35"/>
        <v>114.41</v>
      </c>
      <c r="J115" s="283">
        <f t="shared" si="35"/>
        <v>146.34</v>
      </c>
      <c r="K115" s="283">
        <f t="shared" si="35"/>
        <v>73.84</v>
      </c>
      <c r="L115" s="283">
        <f t="shared" si="35"/>
        <v>71.760000000000005</v>
      </c>
      <c r="M115" s="383"/>
    </row>
    <row r="116" spans="1:14" s="366" customFormat="1" ht="45" customHeight="1">
      <c r="A116" s="381"/>
      <c r="B116" s="279" t="s">
        <v>46</v>
      </c>
      <c r="C116" s="363" t="s">
        <v>335</v>
      </c>
      <c r="D116" s="368">
        <f>'BASE APOIO-NOTAS EXPLICATIVAS '!H85</f>
        <v>6.777777777777778E-4</v>
      </c>
      <c r="E116" s="283">
        <f t="shared" ref="E116:L116" si="36">IF(E24="","",IFERROR(ROUND($D116*E$106,2),""))</f>
        <v>2.8</v>
      </c>
      <c r="F116" s="283">
        <f t="shared" si="36"/>
        <v>2.75</v>
      </c>
      <c r="G116" s="283">
        <f t="shared" si="36"/>
        <v>3.5</v>
      </c>
      <c r="H116" s="283">
        <f t="shared" si="36"/>
        <v>4.22</v>
      </c>
      <c r="I116" s="283">
        <f t="shared" si="36"/>
        <v>5.58</v>
      </c>
      <c r="J116" s="283">
        <f t="shared" si="36"/>
        <v>7.14</v>
      </c>
      <c r="K116" s="283">
        <f t="shared" si="36"/>
        <v>3.6</v>
      </c>
      <c r="L116" s="283">
        <f t="shared" si="36"/>
        <v>3.5</v>
      </c>
      <c r="M116" s="383"/>
    </row>
    <row r="117" spans="1:14" s="366" customFormat="1" ht="19.5" customHeight="1">
      <c r="A117" s="381"/>
      <c r="B117" s="279" t="s">
        <v>48</v>
      </c>
      <c r="C117" s="280" t="s">
        <v>189</v>
      </c>
      <c r="D117" s="367">
        <f>IF(E24="","",SUM(D111:D116)*(SUM(D51:D56,D60,D61)))</f>
        <v>1.9535688888888895E-2</v>
      </c>
      <c r="E117" s="283">
        <f t="shared" ref="E117:L117" si="37">IF(E24="","",IFERROR(ROUND($D117*E$106,2),""))</f>
        <v>80.819999999999993</v>
      </c>
      <c r="F117" s="283">
        <f t="shared" si="37"/>
        <v>79.22</v>
      </c>
      <c r="G117" s="283">
        <f t="shared" si="37"/>
        <v>100.74</v>
      </c>
      <c r="H117" s="283">
        <f t="shared" si="37"/>
        <v>121.52</v>
      </c>
      <c r="I117" s="283">
        <f t="shared" si="37"/>
        <v>160.91999999999999</v>
      </c>
      <c r="J117" s="283">
        <f t="shared" si="37"/>
        <v>205.83</v>
      </c>
      <c r="K117" s="283">
        <f t="shared" si="37"/>
        <v>103.87</v>
      </c>
      <c r="L117" s="283">
        <f t="shared" si="37"/>
        <v>100.94</v>
      </c>
      <c r="M117" s="383"/>
      <c r="N117" s="384"/>
    </row>
    <row r="118" spans="1:14" s="263" customFormat="1">
      <c r="A118" s="287"/>
      <c r="B118" s="274"/>
      <c r="C118" s="275" t="s">
        <v>336</v>
      </c>
      <c r="D118" s="309"/>
      <c r="E118" s="291">
        <f t="shared" ref="E118:L118" si="38">IF(SUM(E111:E117)=0,"",SUM(E111:E117))</f>
        <v>283.95000000000005</v>
      </c>
      <c r="F118" s="291">
        <f t="shared" si="38"/>
        <v>278.28999999999996</v>
      </c>
      <c r="G118" s="291">
        <f t="shared" si="38"/>
        <v>354.54</v>
      </c>
      <c r="H118" s="291">
        <f t="shared" si="38"/>
        <v>428.19000000000005</v>
      </c>
      <c r="I118" s="291">
        <f t="shared" si="38"/>
        <v>567.77</v>
      </c>
      <c r="J118" s="291">
        <f t="shared" si="38"/>
        <v>726.89</v>
      </c>
      <c r="K118" s="291">
        <f t="shared" si="38"/>
        <v>365.62000000000006</v>
      </c>
      <c r="L118" s="291">
        <f t="shared" si="38"/>
        <v>355.24</v>
      </c>
    </row>
    <row r="119" spans="1:14" ht="16.5" customHeight="1"/>
    <row r="120" spans="1:14" ht="3.75" customHeight="1"/>
    <row r="121" spans="1:14" s="263" customFormat="1">
      <c r="A121" s="259"/>
      <c r="B121" s="260"/>
      <c r="C121" s="226" t="s">
        <v>337</v>
      </c>
      <c r="D121" s="261"/>
      <c r="E121" s="262">
        <f t="shared" ref="E121:L121" si="39">IF(E24="",E118,SUM(E118))</f>
        <v>283.95000000000005</v>
      </c>
      <c r="F121" s="262">
        <f t="shared" si="39"/>
        <v>278.28999999999996</v>
      </c>
      <c r="G121" s="262">
        <f t="shared" si="39"/>
        <v>354.54</v>
      </c>
      <c r="H121" s="262">
        <f t="shared" si="39"/>
        <v>428.19000000000005</v>
      </c>
      <c r="I121" s="262">
        <f t="shared" si="39"/>
        <v>567.77</v>
      </c>
      <c r="J121" s="262">
        <f t="shared" si="39"/>
        <v>726.89</v>
      </c>
      <c r="K121" s="262">
        <f t="shared" si="39"/>
        <v>365.62000000000006</v>
      </c>
      <c r="L121" s="262">
        <f t="shared" si="39"/>
        <v>355.24</v>
      </c>
      <c r="M121" s="372"/>
    </row>
    <row r="122" spans="1:14" s="263" customFormat="1">
      <c r="B122" s="385"/>
      <c r="C122" s="386"/>
      <c r="D122" s="387"/>
      <c r="E122" s="386"/>
      <c r="F122" s="386"/>
      <c r="G122" s="386"/>
      <c r="H122" s="386"/>
      <c r="I122" s="386"/>
      <c r="J122" s="386"/>
      <c r="K122" s="386"/>
      <c r="L122" s="386"/>
    </row>
    <row r="123" spans="1:14" s="136" customFormat="1">
      <c r="A123" s="268"/>
      <c r="B123" s="269"/>
      <c r="C123" s="226" t="s">
        <v>338</v>
      </c>
      <c r="D123" s="270"/>
      <c r="E123" s="271"/>
      <c r="F123" s="271"/>
      <c r="G123" s="271"/>
      <c r="H123" s="271"/>
      <c r="I123" s="271"/>
      <c r="J123" s="271"/>
      <c r="K123" s="271"/>
      <c r="L123" s="272"/>
    </row>
    <row r="124" spans="1:14" ht="8.25" customHeight="1"/>
    <row r="125" spans="1:14" s="136" customFormat="1">
      <c r="A125" s="268"/>
      <c r="B125" s="626"/>
      <c r="C125" s="627" t="s">
        <v>339</v>
      </c>
      <c r="D125" s="628"/>
      <c r="E125" s="629"/>
      <c r="F125" s="629"/>
      <c r="G125" s="629"/>
      <c r="H125" s="629"/>
      <c r="I125" s="629"/>
      <c r="J125" s="629"/>
      <c r="K125" s="629"/>
      <c r="L125" s="630"/>
    </row>
    <row r="126" spans="1:14" s="136" customFormat="1">
      <c r="A126" s="381"/>
      <c r="B126" s="631" t="s">
        <v>35</v>
      </c>
      <c r="C126" s="632" t="s">
        <v>340</v>
      </c>
      <c r="D126" s="633"/>
      <c r="E126" s="634">
        <v>203.18</v>
      </c>
      <c r="F126" s="634">
        <v>203.18</v>
      </c>
      <c r="G126" s="634">
        <v>203.18</v>
      </c>
      <c r="H126" s="634">
        <v>203.18</v>
      </c>
      <c r="I126" s="634">
        <v>203.18</v>
      </c>
      <c r="J126" s="634">
        <v>203.18</v>
      </c>
      <c r="K126" s="634">
        <v>203.18</v>
      </c>
      <c r="L126" s="634">
        <v>203.18</v>
      </c>
    </row>
    <row r="127" spans="1:14" s="136" customFormat="1">
      <c r="A127" s="388"/>
      <c r="B127" s="631" t="s">
        <v>37</v>
      </c>
      <c r="C127" s="632" t="s">
        <v>341</v>
      </c>
      <c r="D127" s="633"/>
      <c r="E127" s="634">
        <v>0</v>
      </c>
      <c r="F127" s="634">
        <v>0</v>
      </c>
      <c r="G127" s="634">
        <v>0</v>
      </c>
      <c r="H127" s="634">
        <v>0</v>
      </c>
      <c r="I127" s="634">
        <v>0</v>
      </c>
      <c r="J127" s="634">
        <v>0</v>
      </c>
      <c r="K127" s="634">
        <v>0</v>
      </c>
      <c r="L127" s="634">
        <v>0</v>
      </c>
    </row>
    <row r="128" spans="1:14" s="136" customFormat="1">
      <c r="A128" s="388"/>
      <c r="B128" s="631" t="s">
        <v>39</v>
      </c>
      <c r="C128" s="632" t="s">
        <v>342</v>
      </c>
      <c r="D128" s="633"/>
      <c r="E128" s="634">
        <v>0</v>
      </c>
      <c r="F128" s="634">
        <v>0</v>
      </c>
      <c r="G128" s="634">
        <v>0</v>
      </c>
      <c r="H128" s="634">
        <v>0</v>
      </c>
      <c r="I128" s="634">
        <v>0</v>
      </c>
      <c r="J128" s="634">
        <v>0</v>
      </c>
      <c r="K128" s="634">
        <v>0</v>
      </c>
      <c r="L128" s="634">
        <v>0</v>
      </c>
    </row>
    <row r="129" spans="1:12">
      <c r="B129" s="626"/>
      <c r="C129" s="627" t="s">
        <v>343</v>
      </c>
      <c r="D129" s="635"/>
      <c r="E129" s="636">
        <f t="shared" ref="E129:L129" si="40">IF(E24="","",SUM(E126:E128))</f>
        <v>203.18</v>
      </c>
      <c r="F129" s="636">
        <f t="shared" si="40"/>
        <v>203.18</v>
      </c>
      <c r="G129" s="636">
        <f t="shared" si="40"/>
        <v>203.18</v>
      </c>
      <c r="H129" s="636">
        <f t="shared" si="40"/>
        <v>203.18</v>
      </c>
      <c r="I129" s="636">
        <f t="shared" si="40"/>
        <v>203.18</v>
      </c>
      <c r="J129" s="636">
        <f t="shared" si="40"/>
        <v>203.18</v>
      </c>
      <c r="K129" s="636">
        <f t="shared" si="40"/>
        <v>203.18</v>
      </c>
      <c r="L129" s="636">
        <f t="shared" si="40"/>
        <v>203.18</v>
      </c>
    </row>
    <row r="130" spans="1:12" ht="3.75" customHeight="1">
      <c r="B130" s="637"/>
      <c r="C130" s="637"/>
      <c r="D130" s="637"/>
      <c r="E130" s="637"/>
      <c r="F130" s="637"/>
      <c r="G130" s="637"/>
      <c r="H130" s="637"/>
      <c r="I130" s="637"/>
      <c r="J130" s="637"/>
      <c r="K130" s="637"/>
      <c r="L130" s="637"/>
    </row>
    <row r="131" spans="1:12" s="136" customFormat="1" hidden="1">
      <c r="A131" s="388"/>
      <c r="B131" s="638"/>
      <c r="C131" s="639" t="s">
        <v>344</v>
      </c>
      <c r="D131" s="640"/>
      <c r="E131" s="641"/>
      <c r="F131" s="641"/>
      <c r="G131" s="641"/>
      <c r="H131" s="641"/>
      <c r="I131" s="641"/>
      <c r="J131" s="641"/>
      <c r="K131" s="641"/>
      <c r="L131" s="641"/>
    </row>
    <row r="132" spans="1:12" s="136" customFormat="1" hidden="1">
      <c r="A132" s="388"/>
      <c r="B132" s="631" t="s">
        <v>35</v>
      </c>
      <c r="C132" s="632" t="s">
        <v>345</v>
      </c>
      <c r="D132" s="642"/>
      <c r="E132" s="643">
        <v>0</v>
      </c>
      <c r="F132" s="643">
        <v>0</v>
      </c>
      <c r="G132" s="643">
        <v>0</v>
      </c>
      <c r="H132" s="643">
        <v>0</v>
      </c>
      <c r="I132" s="643">
        <v>0</v>
      </c>
      <c r="J132" s="643">
        <v>0</v>
      </c>
      <c r="K132" s="643">
        <v>0</v>
      </c>
      <c r="L132" s="643">
        <v>0</v>
      </c>
    </row>
    <row r="133" spans="1:12" s="136" customFormat="1" hidden="1">
      <c r="A133" s="388"/>
      <c r="B133" s="631" t="s">
        <v>37</v>
      </c>
      <c r="C133" s="632" t="s">
        <v>346</v>
      </c>
      <c r="D133" s="642"/>
      <c r="E133" s="643">
        <v>0</v>
      </c>
      <c r="F133" s="643">
        <v>0</v>
      </c>
      <c r="G133" s="643">
        <v>0</v>
      </c>
      <c r="H133" s="643">
        <v>0</v>
      </c>
      <c r="I133" s="643">
        <v>0</v>
      </c>
      <c r="J133" s="643">
        <v>0</v>
      </c>
      <c r="K133" s="643">
        <v>0</v>
      </c>
      <c r="L133" s="643">
        <v>0</v>
      </c>
    </row>
    <row r="134" spans="1:12" s="136" customFormat="1" hidden="1">
      <c r="A134" s="388"/>
      <c r="B134" s="631" t="s">
        <v>39</v>
      </c>
      <c r="C134" s="632" t="s">
        <v>347</v>
      </c>
      <c r="D134" s="642"/>
      <c r="E134" s="643">
        <v>0</v>
      </c>
      <c r="F134" s="643">
        <v>0</v>
      </c>
      <c r="G134" s="643">
        <v>0</v>
      </c>
      <c r="H134" s="643">
        <v>0</v>
      </c>
      <c r="I134" s="643">
        <v>0</v>
      </c>
      <c r="J134" s="643">
        <v>0</v>
      </c>
      <c r="K134" s="643">
        <v>0</v>
      </c>
      <c r="L134" s="643">
        <v>0</v>
      </c>
    </row>
    <row r="135" spans="1:12" s="136" customFormat="1" hidden="1">
      <c r="A135" s="388"/>
      <c r="B135" s="638"/>
      <c r="C135" s="639" t="s">
        <v>348</v>
      </c>
      <c r="D135" s="644"/>
      <c r="E135" s="641">
        <f t="shared" ref="E135:L135" si="41">SUM(E132:E134)</f>
        <v>0</v>
      </c>
      <c r="F135" s="641">
        <f t="shared" si="41"/>
        <v>0</v>
      </c>
      <c r="G135" s="641">
        <f t="shared" si="41"/>
        <v>0</v>
      </c>
      <c r="H135" s="641">
        <f t="shared" si="41"/>
        <v>0</v>
      </c>
      <c r="I135" s="641">
        <f t="shared" si="41"/>
        <v>0</v>
      </c>
      <c r="J135" s="641">
        <f t="shared" si="41"/>
        <v>0</v>
      </c>
      <c r="K135" s="641">
        <f t="shared" si="41"/>
        <v>0</v>
      </c>
      <c r="L135" s="641">
        <f t="shared" si="41"/>
        <v>0</v>
      </c>
    </row>
    <row r="136" spans="1:12" ht="3.75" hidden="1" customHeight="1">
      <c r="B136" s="637"/>
      <c r="C136" s="637"/>
      <c r="D136" s="637"/>
      <c r="E136" s="637"/>
      <c r="F136" s="637"/>
      <c r="G136" s="637"/>
      <c r="H136" s="637"/>
      <c r="I136" s="637"/>
      <c r="J136" s="637"/>
      <c r="K136" s="637"/>
      <c r="L136" s="637"/>
    </row>
    <row r="137" spans="1:12" s="263" customFormat="1">
      <c r="A137" s="259"/>
      <c r="B137" s="645"/>
      <c r="C137" s="646" t="s">
        <v>349</v>
      </c>
      <c r="D137" s="647"/>
      <c r="E137" s="648">
        <f t="shared" ref="E137:L137" si="42">IF(E24="","",E129)</f>
        <v>203.18</v>
      </c>
      <c r="F137" s="648">
        <f t="shared" si="42"/>
        <v>203.18</v>
      </c>
      <c r="G137" s="648">
        <f t="shared" si="42"/>
        <v>203.18</v>
      </c>
      <c r="H137" s="648">
        <f t="shared" si="42"/>
        <v>203.18</v>
      </c>
      <c r="I137" s="648">
        <f t="shared" si="42"/>
        <v>203.18</v>
      </c>
      <c r="J137" s="648">
        <f t="shared" si="42"/>
        <v>203.18</v>
      </c>
      <c r="K137" s="648">
        <f t="shared" si="42"/>
        <v>203.18</v>
      </c>
      <c r="L137" s="648">
        <f t="shared" si="42"/>
        <v>203.18</v>
      </c>
    </row>
    <row r="138" spans="1:12">
      <c r="G138" s="173"/>
      <c r="H138" s="173"/>
      <c r="I138" s="173"/>
      <c r="J138" s="173"/>
      <c r="K138" s="173"/>
      <c r="L138" s="173"/>
    </row>
    <row r="139" spans="1:12" s="136" customFormat="1">
      <c r="A139" s="268"/>
      <c r="B139" s="269"/>
      <c r="C139" s="226" t="s">
        <v>350</v>
      </c>
      <c r="D139" s="270"/>
      <c r="E139" s="271"/>
      <c r="F139" s="271"/>
      <c r="G139" s="271"/>
      <c r="H139" s="271"/>
      <c r="I139" s="271"/>
      <c r="J139" s="271"/>
      <c r="K139" s="271"/>
      <c r="L139" s="272"/>
    </row>
    <row r="140" spans="1:12" ht="3.75" customHeight="1"/>
    <row r="141" spans="1:12" s="136" customFormat="1">
      <c r="A141" s="273"/>
      <c r="B141" s="288"/>
      <c r="C141" s="389" t="s">
        <v>200</v>
      </c>
      <c r="D141" s="390"/>
      <c r="E141" s="391"/>
      <c r="F141" s="391"/>
      <c r="G141" s="391"/>
      <c r="H141" s="391"/>
      <c r="I141" s="391"/>
      <c r="J141" s="391"/>
      <c r="K141" s="391"/>
      <c r="L141" s="392"/>
    </row>
    <row r="142" spans="1:12">
      <c r="A142" s="388"/>
      <c r="B142" s="279" t="s">
        <v>35</v>
      </c>
      <c r="C142" s="280" t="s">
        <v>351</v>
      </c>
      <c r="D142" s="364">
        <v>0.05</v>
      </c>
      <c r="E142" s="237">
        <f t="shared" ref="E142:L142" si="43">IF(E24="","",IFERROR($D$142*SUM(E40,E88,E100,E121,E137),""))</f>
        <v>335.59894300000002</v>
      </c>
      <c r="F142" s="237">
        <f t="shared" si="43"/>
        <v>328.06244300000003</v>
      </c>
      <c r="G142" s="237">
        <f t="shared" si="43"/>
        <v>403.47194300000001</v>
      </c>
      <c r="H142" s="237">
        <f t="shared" si="43"/>
        <v>478.68744300000009</v>
      </c>
      <c r="I142" s="237">
        <f t="shared" si="43"/>
        <v>621.50444300000004</v>
      </c>
      <c r="J142" s="237">
        <f t="shared" si="43"/>
        <v>784.30494300000009</v>
      </c>
      <c r="K142" s="237">
        <f t="shared" si="43"/>
        <v>414.68844300000001</v>
      </c>
      <c r="L142" s="237">
        <f t="shared" si="43"/>
        <v>406.10594300000008</v>
      </c>
    </row>
    <row r="143" spans="1:12">
      <c r="A143" s="381"/>
      <c r="B143" s="279" t="s">
        <v>37</v>
      </c>
      <c r="C143" s="280" t="s">
        <v>352</v>
      </c>
      <c r="D143" s="368">
        <v>0.1</v>
      </c>
      <c r="E143" s="283">
        <f t="shared" ref="E143:L143" si="44">IF(E24="","",IFERROR($D$143*SUM(E142,E40,E88,E100,E121,E137),""))</f>
        <v>704.75778030000004</v>
      </c>
      <c r="F143" s="283">
        <f t="shared" si="44"/>
        <v>688.93113030000006</v>
      </c>
      <c r="G143" s="283">
        <f t="shared" si="44"/>
        <v>847.29108030000009</v>
      </c>
      <c r="H143" s="283">
        <f t="shared" si="44"/>
        <v>1005.2436303000001</v>
      </c>
      <c r="I143" s="283">
        <f t="shared" si="44"/>
        <v>1305.1593303</v>
      </c>
      <c r="J143" s="283">
        <f t="shared" si="44"/>
        <v>1647.0403802999999</v>
      </c>
      <c r="K143" s="283">
        <f t="shared" si="44"/>
        <v>870.84573030000001</v>
      </c>
      <c r="L143" s="283">
        <f t="shared" si="44"/>
        <v>852.82248030000028</v>
      </c>
    </row>
    <row r="144" spans="1:12" s="263" customFormat="1">
      <c r="A144" s="287"/>
      <c r="B144" s="274"/>
      <c r="C144" s="275" t="s">
        <v>353</v>
      </c>
      <c r="D144" s="289"/>
      <c r="E144" s="291">
        <f t="shared" ref="E144:L144" si="45">IF(E24="","",SUM(E142:E143))</f>
        <v>1040.3567233000001</v>
      </c>
      <c r="F144" s="291">
        <f t="shared" si="45"/>
        <v>1016.9935733000001</v>
      </c>
      <c r="G144" s="291">
        <f t="shared" si="45"/>
        <v>1250.7630233</v>
      </c>
      <c r="H144" s="291">
        <f t="shared" si="45"/>
        <v>1483.9310733000002</v>
      </c>
      <c r="I144" s="291">
        <f t="shared" si="45"/>
        <v>1926.6637733</v>
      </c>
      <c r="J144" s="291">
        <f t="shared" si="45"/>
        <v>2431.3453233</v>
      </c>
      <c r="K144" s="291">
        <f t="shared" si="45"/>
        <v>1285.5341733</v>
      </c>
      <c r="L144" s="291">
        <f t="shared" si="45"/>
        <v>1258.9284233000003</v>
      </c>
    </row>
    <row r="145" spans="1:17" ht="10.5" customHeight="1"/>
    <row r="146" spans="1:17" s="136" customFormat="1">
      <c r="A146" s="273"/>
      <c r="B146" s="274"/>
      <c r="C146" s="275" t="s">
        <v>205</v>
      </c>
      <c r="D146" s="276"/>
      <c r="E146" s="277"/>
      <c r="F146" s="277"/>
      <c r="G146" s="277"/>
      <c r="H146" s="277"/>
      <c r="I146" s="277"/>
      <c r="J146" s="277"/>
      <c r="K146" s="277"/>
      <c r="L146" s="278"/>
    </row>
    <row r="147" spans="1:17" s="136" customFormat="1">
      <c r="A147" s="287"/>
      <c r="B147" s="393"/>
      <c r="C147" s="394" t="s">
        <v>354</v>
      </c>
      <c r="D147" s="395"/>
      <c r="E147" s="396">
        <f t="shared" ref="E147:L147" si="46">IF(E40="","",E40+E88+E100+E121+E137+E144)</f>
        <v>7752.3355833000005</v>
      </c>
      <c r="F147" s="396">
        <f t="shared" si="46"/>
        <v>7578.2424333000008</v>
      </c>
      <c r="G147" s="396">
        <f t="shared" si="46"/>
        <v>9320.2018833000002</v>
      </c>
      <c r="H147" s="396">
        <f t="shared" si="46"/>
        <v>11057.679933300002</v>
      </c>
      <c r="I147" s="396">
        <f t="shared" si="46"/>
        <v>14356.752633300001</v>
      </c>
      <c r="J147" s="396">
        <f t="shared" si="46"/>
        <v>18117.444183300002</v>
      </c>
      <c r="K147" s="396">
        <f t="shared" si="46"/>
        <v>9579.3030333000006</v>
      </c>
      <c r="L147" s="396">
        <f t="shared" si="46"/>
        <v>9381.0472833000022</v>
      </c>
      <c r="M147" s="397"/>
    </row>
    <row r="148" spans="1:17">
      <c r="A148" s="381"/>
      <c r="B148" s="279" t="s">
        <v>35</v>
      </c>
      <c r="C148" s="280" t="s">
        <v>209</v>
      </c>
      <c r="D148" s="398">
        <f>IF($D$14="Lucro Presumido",'BASE APOIO-NOTAS EXPLICATIVAS '!H102,IF($D$14="Lucro Real",'BASE APOIO-NOTAS EXPLICATIVAS '!I102,IF($D$14="Simples Nacional",'BASE APOIO-NOTAS EXPLICATIVAS '!P102)))</f>
        <v>7.5999999999999998E-2</v>
      </c>
      <c r="E148" s="283">
        <f t="shared" ref="E148:L148" si="47">IF(E24="","",IFERROR(E147*$D148/(1-SUM($D$148:$D$156)),""))</f>
        <v>687.08746860734709</v>
      </c>
      <c r="F148" s="283">
        <f t="shared" si="47"/>
        <v>671.65763840326542</v>
      </c>
      <c r="G148" s="283">
        <f t="shared" si="47"/>
        <v>826.04704738285716</v>
      </c>
      <c r="H148" s="283">
        <f t="shared" si="47"/>
        <v>980.0392710563267</v>
      </c>
      <c r="I148" s="283">
        <f t="shared" si="47"/>
        <v>1272.4352188114287</v>
      </c>
      <c r="J148" s="283">
        <f t="shared" si="47"/>
        <v>1605.7443241175513</v>
      </c>
      <c r="K148" s="283">
        <f t="shared" si="47"/>
        <v>849.01111432163282</v>
      </c>
      <c r="L148" s="283">
        <f t="shared" si="47"/>
        <v>831.43975921959202</v>
      </c>
      <c r="M148" s="251"/>
    </row>
    <row r="149" spans="1:17">
      <c r="A149" s="388"/>
      <c r="B149" s="279" t="s">
        <v>37</v>
      </c>
      <c r="C149" s="280" t="s">
        <v>212</v>
      </c>
      <c r="D149" s="398">
        <f>IF($D$14="Lucro Presumido",'BASE APOIO-NOTAS EXPLICATIVAS '!H103,IF($D$14="Lucro Real",'BASE APOIO-NOTAS EXPLICATIVAS '!I103,IF($D$14="Simples Nacional",'BASE APOIO-NOTAS EXPLICATIVAS '!P103)))</f>
        <v>1.6500000000000001E-2</v>
      </c>
      <c r="E149" s="283">
        <f t="shared" ref="E149:L149" si="48">IF(E24="","",IFERROR(E147*$D149/(1-SUM($D$148:$D$156)),""))</f>
        <v>149.17030568448982</v>
      </c>
      <c r="F149" s="283">
        <f t="shared" si="48"/>
        <v>145.82040833755104</v>
      </c>
      <c r="G149" s="283">
        <f t="shared" si="48"/>
        <v>179.33916160285719</v>
      </c>
      <c r="H149" s="283">
        <f t="shared" si="48"/>
        <v>212.77168384775516</v>
      </c>
      <c r="I149" s="283">
        <f t="shared" si="48"/>
        <v>276.25238303142862</v>
      </c>
      <c r="J149" s="283">
        <f t="shared" si="48"/>
        <v>348.61554405183682</v>
      </c>
      <c r="K149" s="283">
        <f t="shared" si="48"/>
        <v>184.32478139877554</v>
      </c>
      <c r="L149" s="283">
        <f t="shared" si="48"/>
        <v>180.5099477253062</v>
      </c>
      <c r="M149" s="251"/>
    </row>
    <row r="150" spans="1:17">
      <c r="A150" s="388"/>
      <c r="B150" s="683" t="s">
        <v>39</v>
      </c>
      <c r="C150" s="335" t="s">
        <v>213</v>
      </c>
      <c r="D150" s="399"/>
      <c r="E150" s="297"/>
      <c r="F150" s="297"/>
      <c r="G150" s="297"/>
      <c r="H150" s="297"/>
      <c r="I150" s="297"/>
      <c r="J150" s="297"/>
      <c r="K150" s="297"/>
      <c r="L150" s="297"/>
      <c r="M150" s="251"/>
    </row>
    <row r="151" spans="1:17">
      <c r="A151" s="388"/>
      <c r="B151" s="683"/>
      <c r="C151" s="400" t="s">
        <v>355</v>
      </c>
      <c r="D151" s="401">
        <f>E151</f>
        <v>0.05</v>
      </c>
      <c r="E151" s="402">
        <f>IF($D$14="Lucro Presumido",'BASE APOIO-NOTAS EXPLICATIVAS '!$H$104,IF($D$14="Lucro Real",'BASE APOIO-NOTAS EXPLICATIVAS '!$I$104,IF($D$14="Simples Nacional",'BASE APOIO-NOTAS EXPLICATIVAS '!$P$104)))</f>
        <v>0.05</v>
      </c>
      <c r="F151" s="402">
        <f>IF($D$14="Lucro Presumido",'BASE APOIO-NOTAS EXPLICATIVAS '!$H$104,IF($D$14="Lucro Real",'BASE APOIO-NOTAS EXPLICATIVAS '!$I$104,IF($D$14="Simples Nacional",'BASE APOIO-NOTAS EXPLICATIVAS '!$P$104)))</f>
        <v>0.05</v>
      </c>
      <c r="G151" s="402">
        <f>IF($D$14="Lucro Presumido",'BASE APOIO-NOTAS EXPLICATIVAS '!$H$104,IF($D$14="Lucro Real",'BASE APOIO-NOTAS EXPLICATIVAS '!$I$104,IF($D$14="Simples Nacional",'BASE APOIO-NOTAS EXPLICATIVAS '!$P$104)))</f>
        <v>0.05</v>
      </c>
      <c r="H151" s="402">
        <f>IF($D$14="Lucro Presumido",'BASE APOIO-NOTAS EXPLICATIVAS '!$H$104,IF($D$14="Lucro Real",'BASE APOIO-NOTAS EXPLICATIVAS '!$I$104,IF($D$14="Simples Nacional",'BASE APOIO-NOTAS EXPLICATIVAS '!$P$104)))</f>
        <v>0.05</v>
      </c>
      <c r="I151" s="402">
        <f>IF($D$14="Lucro Presumido",'BASE APOIO-NOTAS EXPLICATIVAS '!$H$104,IF($D$14="Lucro Real",'BASE APOIO-NOTAS EXPLICATIVAS '!$I$104,IF($D$14="Simples Nacional",'BASE APOIO-NOTAS EXPLICATIVAS '!$P$104)))</f>
        <v>0.05</v>
      </c>
      <c r="J151" s="402">
        <f>IF($D$14="Lucro Presumido",'BASE APOIO-NOTAS EXPLICATIVAS '!$H$104,IF($D$14="Lucro Real",'BASE APOIO-NOTAS EXPLICATIVAS '!$I$104,IF($D$14="Simples Nacional",'BASE APOIO-NOTAS EXPLICATIVAS '!$P$104)))</f>
        <v>0.05</v>
      </c>
      <c r="K151" s="402">
        <f>IF($D$14="Lucro Presumido",'BASE APOIO-NOTAS EXPLICATIVAS '!$H$104,IF($D$14="Lucro Real",'BASE APOIO-NOTAS EXPLICATIVAS '!$I$104,IF($D$14="Simples Nacional",'BASE APOIO-NOTAS EXPLICATIVAS '!$P$104)))</f>
        <v>0.05</v>
      </c>
      <c r="L151" s="402">
        <f>IF($D$14="Lucro Presumido",'BASE APOIO-NOTAS EXPLICATIVAS '!$H$104,IF($D$14="Lucro Real",'BASE APOIO-NOTAS EXPLICATIVAS '!$I$104,IF($D$14="Simples Nacional",'BASE APOIO-NOTAS EXPLICATIVAS '!$P$104)))</f>
        <v>0.05</v>
      </c>
    </row>
    <row r="152" spans="1:17">
      <c r="A152" s="381"/>
      <c r="B152" s="683"/>
      <c r="C152" s="403"/>
      <c r="D152" s="257" t="s">
        <v>285</v>
      </c>
      <c r="E152" s="283">
        <f>IF(E24="","",IFERROR(E147*$E151/(1-SUM($D$148:$D$156)),""))</f>
        <v>452.03122934693886</v>
      </c>
      <c r="F152" s="283">
        <f>IF(F24="","",IFERROR(F147*$F151/(1-SUM($D$148:$D$156)),""))</f>
        <v>441.88002526530624</v>
      </c>
      <c r="G152" s="283">
        <f>IF(G24="","",IFERROR(G147*$G151/(1-SUM($D$148:$D$156)),""))</f>
        <v>543.45200485714292</v>
      </c>
      <c r="H152" s="283">
        <f>IF(H24="","",IFERROR(H147*$H151/(1-SUM($D$148:$D$156)),""))</f>
        <v>644.76267832653082</v>
      </c>
      <c r="I152" s="283">
        <f>IF(I24="","",IFERROR(I147*$I151/(1-SUM($D$148:$D$156)),""))</f>
        <v>837.12843342857161</v>
      </c>
      <c r="J152" s="283">
        <f>IF(J24="","",IFERROR(J147*$J151/(1-SUM($D$148:$D$156)),""))</f>
        <v>1056.4107395510207</v>
      </c>
      <c r="K152" s="283">
        <f>IF(K24="","",IFERROR(K147*$K151/(1-SUM($D$148:$D$156)),""))</f>
        <v>558.55994363265313</v>
      </c>
      <c r="L152" s="283">
        <f>IF(L24="","",IFERROR(L147*$L151/(1-SUM($D$148:$D$156)),""))</f>
        <v>546.99984159183691</v>
      </c>
    </row>
    <row r="153" spans="1:17">
      <c r="A153" s="381"/>
      <c r="B153" s="279" t="s">
        <v>41</v>
      </c>
      <c r="C153" s="280" t="s">
        <v>214</v>
      </c>
      <c r="D153" s="404">
        <v>0</v>
      </c>
      <c r="E153" s="283"/>
      <c r="F153" s="283"/>
      <c r="G153" s="283"/>
      <c r="H153" s="283"/>
      <c r="I153" s="283"/>
      <c r="J153" s="283"/>
      <c r="K153" s="283"/>
      <c r="L153" s="283"/>
    </row>
    <row r="154" spans="1:17">
      <c r="A154" s="381"/>
      <c r="B154" s="279" t="s">
        <v>44</v>
      </c>
      <c r="C154" s="280" t="s">
        <v>217</v>
      </c>
      <c r="D154" s="404">
        <v>0</v>
      </c>
      <c r="E154" s="283"/>
      <c r="F154" s="283"/>
      <c r="G154" s="283"/>
      <c r="H154" s="283"/>
      <c r="I154" s="283"/>
      <c r="J154" s="283"/>
      <c r="K154" s="283"/>
      <c r="L154" s="283"/>
    </row>
    <row r="155" spans="1:17">
      <c r="A155" s="381"/>
      <c r="B155" s="279" t="s">
        <v>46</v>
      </c>
      <c r="C155" s="280" t="s">
        <v>219</v>
      </c>
      <c r="D155" s="404">
        <v>0</v>
      </c>
      <c r="E155" s="283"/>
      <c r="F155" s="283"/>
      <c r="G155" s="283"/>
      <c r="H155" s="283"/>
      <c r="I155" s="283"/>
      <c r="J155" s="283"/>
      <c r="K155" s="283"/>
      <c r="L155" s="283"/>
    </row>
    <row r="156" spans="1:17">
      <c r="A156" s="381"/>
      <c r="B156" s="279" t="s">
        <v>48</v>
      </c>
      <c r="C156" s="280" t="s">
        <v>221</v>
      </c>
      <c r="D156" s="404">
        <v>0</v>
      </c>
      <c r="E156" s="283"/>
      <c r="F156" s="283"/>
      <c r="G156" s="283"/>
      <c r="H156" s="283"/>
      <c r="I156" s="283"/>
      <c r="J156" s="283"/>
      <c r="K156" s="283"/>
      <c r="L156" s="283"/>
      <c r="M156" s="251"/>
    </row>
    <row r="157" spans="1:17" s="263" customFormat="1">
      <c r="A157" s="287"/>
      <c r="B157" s="274"/>
      <c r="C157" s="275" t="s">
        <v>356</v>
      </c>
      <c r="D157" s="289"/>
      <c r="E157" s="350">
        <f t="shared" ref="E157:L157" si="49">IF(E24="","",SUM(E148:E149,E152:E156))</f>
        <v>1288.2890036387757</v>
      </c>
      <c r="F157" s="350">
        <f t="shared" si="49"/>
        <v>1259.3580720061227</v>
      </c>
      <c r="G157" s="350">
        <f t="shared" si="49"/>
        <v>1548.8382138428574</v>
      </c>
      <c r="H157" s="350">
        <f t="shared" si="49"/>
        <v>1837.5736332306128</v>
      </c>
      <c r="I157" s="350">
        <f t="shared" si="49"/>
        <v>2385.816035271429</v>
      </c>
      <c r="J157" s="350">
        <f t="shared" si="49"/>
        <v>3010.7706077204089</v>
      </c>
      <c r="K157" s="350">
        <f t="shared" si="49"/>
        <v>1591.8958393530615</v>
      </c>
      <c r="L157" s="350">
        <f t="shared" si="49"/>
        <v>1558.9495485367352</v>
      </c>
    </row>
    <row r="158" spans="1:17" ht="3.75" customHeight="1"/>
    <row r="159" spans="1:17" s="263" customFormat="1">
      <c r="A159" s="259"/>
      <c r="B159" s="260"/>
      <c r="C159" s="226" t="s">
        <v>357</v>
      </c>
      <c r="D159" s="405">
        <f>((1+'VALOR POSTOS MÊS '!D142)*(1+'VALOR POSTOS MÊS '!D143))/(1-('VALOR POSTOS MÊS '!D148+'VALOR POSTOS MÊS '!D149+'VALOR POSTOS MÊS '!D151))-1</f>
        <v>0.34693877551020447</v>
      </c>
      <c r="E159" s="406">
        <f t="shared" ref="E159:L159" si="50">IF(E24="","",SUM(E157,E144))</f>
        <v>2328.6457269387756</v>
      </c>
      <c r="F159" s="406">
        <f t="shared" si="50"/>
        <v>2276.3516453061229</v>
      </c>
      <c r="G159" s="406">
        <f t="shared" si="50"/>
        <v>2799.6012371428574</v>
      </c>
      <c r="H159" s="406">
        <f t="shared" si="50"/>
        <v>3321.504706530613</v>
      </c>
      <c r="I159" s="406">
        <f t="shared" si="50"/>
        <v>4312.4798085714292</v>
      </c>
      <c r="J159" s="406">
        <f t="shared" si="50"/>
        <v>5442.1159310204093</v>
      </c>
      <c r="K159" s="406">
        <f t="shared" si="50"/>
        <v>2877.4300126530616</v>
      </c>
      <c r="L159" s="351">
        <f t="shared" si="50"/>
        <v>2817.8779718367355</v>
      </c>
      <c r="N159" s="136"/>
      <c r="O159" s="407"/>
      <c r="P159" s="407"/>
      <c r="Q159" s="136"/>
    </row>
    <row r="160" spans="1:17">
      <c r="G160" s="173"/>
      <c r="H160" s="173"/>
      <c r="I160" s="173"/>
      <c r="J160" s="173"/>
      <c r="K160" s="173"/>
      <c r="L160" s="173"/>
      <c r="N160" s="136"/>
      <c r="O160" s="408"/>
      <c r="P160" s="408"/>
      <c r="Q160" s="408"/>
    </row>
    <row r="161" spans="1:17" s="136" customFormat="1">
      <c r="A161" s="268"/>
      <c r="B161" s="269"/>
      <c r="C161" s="260" t="s">
        <v>358</v>
      </c>
      <c r="D161" s="270"/>
      <c r="E161" s="406" t="s">
        <v>359</v>
      </c>
      <c r="F161" s="406" t="s">
        <v>359</v>
      </c>
      <c r="G161" s="406" t="s">
        <v>359</v>
      </c>
      <c r="H161" s="406" t="s">
        <v>359</v>
      </c>
      <c r="I161" s="406" t="s">
        <v>359</v>
      </c>
      <c r="J161" s="406" t="s">
        <v>359</v>
      </c>
      <c r="K161" s="406" t="s">
        <v>359</v>
      </c>
      <c r="L161" s="351" t="s">
        <v>359</v>
      </c>
    </row>
    <row r="162" spans="1:17" s="263" customFormat="1">
      <c r="A162" s="287"/>
      <c r="B162" s="409"/>
      <c r="C162" s="688" t="s">
        <v>360</v>
      </c>
      <c r="D162" s="688"/>
      <c r="E162" s="688"/>
      <c r="F162" s="688"/>
      <c r="G162" s="688"/>
      <c r="H162" s="688"/>
      <c r="I162" s="688"/>
      <c r="J162" s="688"/>
      <c r="K162" s="688"/>
      <c r="L162" s="688"/>
    </row>
    <row r="163" spans="1:17" s="263" customFormat="1">
      <c r="A163" s="287"/>
      <c r="B163" s="411" t="s">
        <v>35</v>
      </c>
      <c r="C163" s="275" t="s">
        <v>52</v>
      </c>
      <c r="D163" s="289"/>
      <c r="E163" s="350">
        <f t="shared" ref="E163:L163" si="51">E40</f>
        <v>3120.02</v>
      </c>
      <c r="F163" s="350">
        <f t="shared" si="51"/>
        <v>3055.52</v>
      </c>
      <c r="G163" s="350">
        <f t="shared" si="51"/>
        <v>3925.52</v>
      </c>
      <c r="H163" s="350">
        <f t="shared" si="51"/>
        <v>4765.41</v>
      </c>
      <c r="I163" s="350">
        <f t="shared" si="51"/>
        <v>6357.99</v>
      </c>
      <c r="J163" s="350">
        <f t="shared" si="51"/>
        <v>8173.41</v>
      </c>
      <c r="K163" s="350">
        <f t="shared" si="51"/>
        <v>4051.77</v>
      </c>
      <c r="L163" s="350">
        <f t="shared" si="51"/>
        <v>3933.4700000000003</v>
      </c>
    </row>
    <row r="164" spans="1:17" s="263" customFormat="1">
      <c r="A164" s="287"/>
      <c r="B164" s="411" t="s">
        <v>37</v>
      </c>
      <c r="C164" s="275" t="s">
        <v>73</v>
      </c>
      <c r="D164" s="289"/>
      <c r="E164" s="350">
        <f t="shared" ref="E164:L164" si="52">E88</f>
        <v>2880.36886</v>
      </c>
      <c r="F164" s="350">
        <f t="shared" si="52"/>
        <v>2804.4588600000002</v>
      </c>
      <c r="G164" s="350">
        <f t="shared" si="52"/>
        <v>3303.7988599999999</v>
      </c>
      <c r="H164" s="350">
        <f t="shared" si="52"/>
        <v>3834.1488600000002</v>
      </c>
      <c r="I164" s="350">
        <f t="shared" si="52"/>
        <v>4843.7688600000001</v>
      </c>
      <c r="J164" s="350">
        <f t="shared" si="52"/>
        <v>5994.6288599999998</v>
      </c>
      <c r="K164" s="350">
        <f t="shared" si="52"/>
        <v>3381.7388599999999</v>
      </c>
      <c r="L164" s="350">
        <f t="shared" si="52"/>
        <v>3347.2588600000004</v>
      </c>
    </row>
    <row r="165" spans="1:17" s="263" customFormat="1">
      <c r="A165" s="287"/>
      <c r="B165" s="411" t="s">
        <v>39</v>
      </c>
      <c r="C165" s="275" t="s">
        <v>129</v>
      </c>
      <c r="D165" s="289"/>
      <c r="E165" s="350">
        <f t="shared" ref="E165:L165" si="53">E100</f>
        <v>224.45999999999998</v>
      </c>
      <c r="F165" s="350">
        <f t="shared" si="53"/>
        <v>219.8</v>
      </c>
      <c r="G165" s="350">
        <f t="shared" si="53"/>
        <v>282.39999999999998</v>
      </c>
      <c r="H165" s="350">
        <f t="shared" si="53"/>
        <v>342.82</v>
      </c>
      <c r="I165" s="350">
        <f t="shared" si="53"/>
        <v>457.38</v>
      </c>
      <c r="J165" s="350">
        <f t="shared" si="53"/>
        <v>587.99</v>
      </c>
      <c r="K165" s="350">
        <f t="shared" si="53"/>
        <v>291.46000000000004</v>
      </c>
      <c r="L165" s="350">
        <f t="shared" si="53"/>
        <v>282.97000000000003</v>
      </c>
    </row>
    <row r="166" spans="1:17" s="263" customFormat="1">
      <c r="A166" s="287"/>
      <c r="B166" s="411" t="s">
        <v>41</v>
      </c>
      <c r="C166" s="275" t="s">
        <v>155</v>
      </c>
      <c r="D166" s="289"/>
      <c r="E166" s="350">
        <f t="shared" ref="E166:L166" si="54">E118</f>
        <v>283.95000000000005</v>
      </c>
      <c r="F166" s="350">
        <f t="shared" si="54"/>
        <v>278.28999999999996</v>
      </c>
      <c r="G166" s="350">
        <f t="shared" si="54"/>
        <v>354.54</v>
      </c>
      <c r="H166" s="350">
        <f t="shared" si="54"/>
        <v>428.19000000000005</v>
      </c>
      <c r="I166" s="350">
        <f t="shared" si="54"/>
        <v>567.77</v>
      </c>
      <c r="J166" s="350">
        <f t="shared" si="54"/>
        <v>726.89</v>
      </c>
      <c r="K166" s="350">
        <f t="shared" si="54"/>
        <v>365.62000000000006</v>
      </c>
      <c r="L166" s="350">
        <f t="shared" si="54"/>
        <v>355.24</v>
      </c>
    </row>
    <row r="167" spans="1:17" s="263" customFormat="1">
      <c r="A167" s="287"/>
      <c r="B167" s="411" t="s">
        <v>44</v>
      </c>
      <c r="C167" s="275" t="s">
        <v>361</v>
      </c>
      <c r="D167" s="289"/>
      <c r="E167" s="350">
        <f t="shared" ref="E167:L167" si="55">E137</f>
        <v>203.18</v>
      </c>
      <c r="F167" s="350">
        <f t="shared" si="55"/>
        <v>203.18</v>
      </c>
      <c r="G167" s="350">
        <f t="shared" si="55"/>
        <v>203.18</v>
      </c>
      <c r="H167" s="350">
        <f t="shared" si="55"/>
        <v>203.18</v>
      </c>
      <c r="I167" s="350">
        <f t="shared" si="55"/>
        <v>203.18</v>
      </c>
      <c r="J167" s="350">
        <f t="shared" si="55"/>
        <v>203.18</v>
      </c>
      <c r="K167" s="350">
        <f t="shared" si="55"/>
        <v>203.18</v>
      </c>
      <c r="L167" s="350">
        <f t="shared" si="55"/>
        <v>203.18</v>
      </c>
    </row>
    <row r="168" spans="1:17" s="263" customFormat="1">
      <c r="A168" s="287"/>
      <c r="B168" s="409"/>
      <c r="C168" s="410" t="s">
        <v>362</v>
      </c>
      <c r="D168" s="412"/>
      <c r="E168" s="413">
        <f t="shared" ref="E168:L168" si="56">SUM(E163:E167)</f>
        <v>6711.9788600000002</v>
      </c>
      <c r="F168" s="413">
        <f t="shared" si="56"/>
        <v>6561.2488600000006</v>
      </c>
      <c r="G168" s="413">
        <f t="shared" si="56"/>
        <v>8069.4388599999993</v>
      </c>
      <c r="H168" s="413">
        <f t="shared" si="56"/>
        <v>9573.7488600000015</v>
      </c>
      <c r="I168" s="413">
        <f t="shared" si="56"/>
        <v>12430.08886</v>
      </c>
      <c r="J168" s="413">
        <f t="shared" si="56"/>
        <v>15686.09886</v>
      </c>
      <c r="K168" s="413">
        <f t="shared" si="56"/>
        <v>8293.7688600000001</v>
      </c>
      <c r="L168" s="413">
        <f t="shared" si="56"/>
        <v>8122.1188600000014</v>
      </c>
    </row>
    <row r="169" spans="1:17" s="263" customFormat="1">
      <c r="A169" s="287"/>
      <c r="B169" s="411" t="s">
        <v>46</v>
      </c>
      <c r="C169" s="275" t="s">
        <v>350</v>
      </c>
      <c r="D169" s="289"/>
      <c r="E169" s="350">
        <f t="shared" ref="E169:L169" si="57">E159</f>
        <v>2328.6457269387756</v>
      </c>
      <c r="F169" s="350">
        <f t="shared" si="57"/>
        <v>2276.3516453061229</v>
      </c>
      <c r="G169" s="350">
        <f t="shared" si="57"/>
        <v>2799.6012371428574</v>
      </c>
      <c r="H169" s="350">
        <f t="shared" si="57"/>
        <v>3321.504706530613</v>
      </c>
      <c r="I169" s="350">
        <f t="shared" si="57"/>
        <v>4312.4798085714292</v>
      </c>
      <c r="J169" s="350">
        <f t="shared" si="57"/>
        <v>5442.1159310204093</v>
      </c>
      <c r="K169" s="350">
        <f t="shared" si="57"/>
        <v>2877.4300126530616</v>
      </c>
      <c r="L169" s="350">
        <f t="shared" si="57"/>
        <v>2817.8779718367355</v>
      </c>
    </row>
    <row r="170" spans="1:17">
      <c r="G170" s="173"/>
      <c r="H170" s="173"/>
      <c r="I170" s="173"/>
      <c r="J170" s="173"/>
      <c r="K170" s="173"/>
      <c r="L170" s="173"/>
      <c r="N170" s="136"/>
      <c r="O170" s="408"/>
      <c r="P170" s="408"/>
      <c r="Q170" s="408"/>
    </row>
    <row r="171" spans="1:17" s="136" customFormat="1">
      <c r="A171" s="268"/>
      <c r="B171" s="414"/>
      <c r="C171" s="415" t="s">
        <v>363</v>
      </c>
      <c r="D171" s="416"/>
      <c r="E171" s="417">
        <f t="shared" ref="E171:L171" si="58">IF(E24="","",E40+E88+E100+E121+E137+E159)</f>
        <v>9040.6245869387749</v>
      </c>
      <c r="F171" s="417">
        <f t="shared" si="58"/>
        <v>8837.6005053061235</v>
      </c>
      <c r="G171" s="417">
        <f t="shared" si="58"/>
        <v>10869.040097142857</v>
      </c>
      <c r="H171" s="417">
        <f t="shared" si="58"/>
        <v>12895.253566530615</v>
      </c>
      <c r="I171" s="417">
        <f t="shared" si="58"/>
        <v>16742.568668571428</v>
      </c>
      <c r="J171" s="417">
        <f t="shared" si="58"/>
        <v>21128.214791020408</v>
      </c>
      <c r="K171" s="417">
        <f t="shared" si="58"/>
        <v>11171.198872653062</v>
      </c>
      <c r="L171" s="417">
        <f t="shared" si="58"/>
        <v>10939.996831836737</v>
      </c>
      <c r="O171" s="418"/>
      <c r="P171" s="418"/>
      <c r="Q171" s="408"/>
    </row>
    <row r="172" spans="1:17">
      <c r="G172" s="173"/>
      <c r="H172" s="173"/>
      <c r="I172" s="173"/>
      <c r="J172" s="173"/>
      <c r="K172" s="173"/>
      <c r="L172" s="173"/>
    </row>
    <row r="173" spans="1:17">
      <c r="D173" s="419"/>
      <c r="G173" s="173"/>
      <c r="H173" s="173"/>
      <c r="I173" s="173"/>
      <c r="J173" s="173"/>
      <c r="K173" s="173"/>
      <c r="L173" s="173"/>
    </row>
  </sheetData>
  <mergeCells count="28">
    <mergeCell ref="B102:C106"/>
    <mergeCell ref="B150:B152"/>
    <mergeCell ref="C162:L162"/>
    <mergeCell ref="B57:B60"/>
    <mergeCell ref="B65:B72"/>
    <mergeCell ref="B73:B78"/>
    <mergeCell ref="B79:B82"/>
    <mergeCell ref="B90:C92"/>
    <mergeCell ref="B30:B31"/>
    <mergeCell ref="B32:B34"/>
    <mergeCell ref="B35:B37"/>
    <mergeCell ref="B38:B39"/>
    <mergeCell ref="C38:D38"/>
    <mergeCell ref="D16:E16"/>
    <mergeCell ref="D17:E17"/>
    <mergeCell ref="D18:E18"/>
    <mergeCell ref="C20:D20"/>
    <mergeCell ref="E20:L20"/>
    <mergeCell ref="D11:E11"/>
    <mergeCell ref="D12:E12"/>
    <mergeCell ref="D13:E13"/>
    <mergeCell ref="D14:E14"/>
    <mergeCell ref="D15:E15"/>
    <mergeCell ref="D1:L5"/>
    <mergeCell ref="B7:L7"/>
    <mergeCell ref="D8:E8"/>
    <mergeCell ref="D9:E9"/>
    <mergeCell ref="D10:E10"/>
  </mergeCells>
  <conditionalFormatting sqref="D8:D13 E23:L27 E33:L33 E36:L36 E66:L71 E74:L77">
    <cfRule type="expression" dxfId="4" priority="5">
      <formula>#REF!=1</formula>
    </cfRule>
  </conditionalFormatting>
  <conditionalFormatting sqref="D14:D18 E23:L26 E33:L33 E36:L36 D58:D59 D66 E67:L71 E74:L77">
    <cfRule type="expression" dxfId="3" priority="6">
      <formula>#REF!=2</formula>
    </cfRule>
  </conditionalFormatting>
  <conditionalFormatting sqref="D15:L15">
    <cfRule type="expression" dxfId="2" priority="2">
      <formula>$D$14="Simples Nacional"</formula>
    </cfRule>
  </conditionalFormatting>
  <conditionalFormatting sqref="E151:L151">
    <cfRule type="expression" dxfId="1" priority="3">
      <formula>#REF!=1</formula>
    </cfRule>
    <cfRule type="expression" dxfId="0" priority="4">
      <formula>#REF!=2</formula>
    </cfRule>
  </conditionalFormatting>
  <dataValidations count="9">
    <dataValidation type="whole" errorStyle="warning" allowBlank="1" showErrorMessage="1" errorTitle="Erro de entrada" error="Informe a duração do contrato em meses" sqref="D12" xr:uid="{00000000-0002-0000-0200-000000000000}">
      <formula1>1</formula1>
      <formula2>360</formula2>
    </dataValidation>
    <dataValidation showInputMessage="1" sqref="D152" xr:uid="{00000000-0002-0000-0200-000001000000}">
      <formula1>0</formula1>
      <formula2>0</formula2>
    </dataValidation>
    <dataValidation type="list" allowBlank="1" showInputMessage="1" showErrorMessage="1" sqref="D13" xr:uid="{00000000-0002-0000-0200-000002000000}">
      <formula1>"Valor Global,Mês,Dia,Hora"</formula1>
      <formula2>0</formula2>
    </dataValidation>
    <dataValidation type="list" allowBlank="1" showInputMessage="1" showErrorMessage="1" sqref="D14:F14" xr:uid="{00000000-0002-0000-0200-000003000000}">
      <formula1>TW_Regime</formula1>
      <formula2>0</formula2>
    </dataValidation>
    <dataValidation type="list" allowBlank="1" showInputMessage="1" sqref="E25 G25:L25" xr:uid="{00000000-0002-0000-0200-000004000000}">
      <formula1>"180,200,220"</formula1>
      <formula2>0</formula2>
    </dataValidation>
    <dataValidation type="list" allowBlank="1" showInputMessage="1" sqref="F25" xr:uid="{00000000-0002-0000-0200-000005000000}">
      <formula1>"180,200,220,110"</formula1>
      <formula2>0</formula2>
    </dataValidation>
    <dataValidation type="list" sqref="E33:L33" xr:uid="{00000000-0002-0000-0200-000006000000}">
      <formula1>"0%,30%"</formula1>
      <formula2>0</formula2>
    </dataValidation>
    <dataValidation sqref="E32:L32 E35:L35 E38:L38" xr:uid="{00000000-0002-0000-0200-000007000000}">
      <formula1>0</formula1>
      <formula2>0</formula2>
    </dataValidation>
    <dataValidation type="list" allowBlank="1" sqref="E36:L36" xr:uid="{00000000-0002-0000-0200-000008000000}">
      <formula1>"0%,10%,20%,40%"</formula1>
      <formula2>0</formula2>
    </dataValidation>
  </dataValidations>
  <hyperlinks>
    <hyperlink ref="C126" location="'Mat Individual e Uniformes func'!A1" display="Uniformes e EPIs" xr:uid="{00000000-0004-0000-0200-000000000000}"/>
  </hyperlinks>
  <pageMargins left="0.51180555555555596" right="0.51180555555555596" top="0.78749999999999998" bottom="0.78749999999999998" header="0.511811023622047" footer="0.31527777777777799"/>
  <pageSetup paperSize="9" fitToHeight="20" orientation="portrait" horizontalDpi="300" verticalDpi="300" r:id="rId1"/>
  <headerFooter>
    <oddFooter>&amp;R&amp;P/&amp;N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L12"/>
  <sheetViews>
    <sheetView zoomScale="85" zoomScaleNormal="85" zoomScalePageLayoutView="90" workbookViewId="0">
      <selection activeCell="L7" sqref="L7"/>
    </sheetView>
  </sheetViews>
  <sheetFormatPr defaultColWidth="11.5703125" defaultRowHeight="12.75"/>
  <cols>
    <col min="1" max="1" width="20.28515625" style="420" customWidth="1"/>
    <col min="2" max="7" width="16" style="420" customWidth="1"/>
    <col min="8" max="8" width="37.42578125" style="420" customWidth="1"/>
    <col min="9" max="16384" width="11.5703125" style="420"/>
  </cols>
  <sheetData>
    <row r="1" spans="1:12" ht="30.75" customHeight="1">
      <c r="A1" s="691" t="s">
        <v>364</v>
      </c>
      <c r="B1" s="691"/>
      <c r="C1" s="691"/>
      <c r="D1" s="691"/>
      <c r="E1" s="691"/>
      <c r="F1" s="691"/>
      <c r="G1" s="691"/>
      <c r="H1" s="691"/>
    </row>
    <row r="4" spans="1:12" ht="15" customHeight="1">
      <c r="B4" s="422" t="s">
        <v>365</v>
      </c>
      <c r="C4" s="422" t="s">
        <v>366</v>
      </c>
      <c r="D4" s="423" t="s">
        <v>367</v>
      </c>
      <c r="E4" s="424"/>
      <c r="F4" s="425"/>
      <c r="G4" s="425"/>
      <c r="H4" s="425"/>
    </row>
    <row r="5" spans="1:12" ht="55.5" customHeight="1">
      <c r="A5" s="422" t="s">
        <v>368</v>
      </c>
      <c r="B5" s="422" t="s">
        <v>369</v>
      </c>
      <c r="C5" s="422" t="s">
        <v>370</v>
      </c>
      <c r="D5" s="422" t="s">
        <v>371</v>
      </c>
      <c r="E5" s="422" t="s">
        <v>372</v>
      </c>
      <c r="F5" s="422" t="s">
        <v>373</v>
      </c>
      <c r="G5" s="422" t="s">
        <v>374</v>
      </c>
      <c r="H5" s="426" t="s">
        <v>375</v>
      </c>
    </row>
    <row r="6" spans="1:12" ht="66.75" customHeight="1">
      <c r="A6" s="427" t="s">
        <v>376</v>
      </c>
      <c r="B6" s="428">
        <v>300</v>
      </c>
      <c r="C6" s="428">
        <v>319</v>
      </c>
      <c r="D6" s="428">
        <v>324.39999999999998</v>
      </c>
      <c r="E6" s="428">
        <f>(D6+C6+B6)/3</f>
        <v>314.46666666666664</v>
      </c>
      <c r="F6" s="429">
        <f>E6/24</f>
        <v>13.102777777777776</v>
      </c>
      <c r="G6" s="430">
        <v>142</v>
      </c>
      <c r="H6" s="431">
        <f>F6*G6</f>
        <v>1860.5944444444442</v>
      </c>
      <c r="K6" s="432">
        <f>G6*E6</f>
        <v>44654.266666666663</v>
      </c>
      <c r="L6" s="433">
        <f>7*E6</f>
        <v>2201.2666666666664</v>
      </c>
    </row>
    <row r="7" spans="1:12">
      <c r="E7" s="433"/>
      <c r="F7" s="434"/>
      <c r="G7" s="434"/>
      <c r="J7" s="433"/>
    </row>
    <row r="8" spans="1:12">
      <c r="J8" s="433"/>
    </row>
    <row r="9" spans="1:12">
      <c r="J9" s="433"/>
    </row>
    <row r="12" spans="1:12">
      <c r="H12" s="433"/>
    </row>
  </sheetData>
  <mergeCells count="1">
    <mergeCell ref="A1:H1"/>
  </mergeCells>
  <pageMargins left="0.78749999999999998" right="0.78749999999999998" top="0.78749999999999998" bottom="0.78749999999999998" header="0.511811023622047" footer="0.511811023622047"/>
  <pageSetup paperSize="9" fitToHeight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I91"/>
  <sheetViews>
    <sheetView topLeftCell="A10" zoomScale="85" zoomScaleNormal="85" workbookViewId="0">
      <selection activeCell="L7" sqref="L7"/>
    </sheetView>
  </sheetViews>
  <sheetFormatPr defaultColWidth="11.5703125" defaultRowHeight="12.75"/>
  <cols>
    <col min="1" max="1" width="36.7109375" style="420" customWidth="1"/>
    <col min="2" max="2" width="26.85546875" style="420" customWidth="1"/>
    <col min="3" max="5" width="23" style="420" customWidth="1"/>
    <col min="6" max="6" width="16.7109375" style="420" customWidth="1"/>
    <col min="7" max="7" width="36.7109375" style="420" customWidth="1"/>
    <col min="8" max="8" width="26.85546875" style="420" customWidth="1"/>
    <col min="9" max="11" width="23" style="420" customWidth="1"/>
    <col min="12" max="12" width="11.5703125" style="420"/>
    <col min="13" max="14" width="11.5703125" style="420" hidden="1"/>
    <col min="15" max="15" width="9.7109375" style="420" hidden="1" customWidth="1"/>
    <col min="16" max="16" width="11.5703125" style="420" hidden="1"/>
    <col min="17" max="17" width="10.7109375" style="420" hidden="1" customWidth="1"/>
    <col min="18" max="18" width="13.42578125" style="420" hidden="1" customWidth="1"/>
    <col min="19" max="19" width="11.5703125" style="420" hidden="1"/>
    <col min="20" max="20" width="13" style="420" hidden="1" customWidth="1"/>
    <col min="21" max="21" width="12" style="420" hidden="1" customWidth="1"/>
    <col min="22" max="23" width="11.5703125" style="420" hidden="1"/>
    <col min="24" max="24" width="11.5703125" style="420"/>
    <col min="25" max="25" width="13.42578125" style="420" customWidth="1"/>
    <col min="26" max="16384" width="11.5703125" style="420"/>
  </cols>
  <sheetData>
    <row r="1" spans="1:32" ht="32.25" customHeight="1">
      <c r="A1" s="691" t="s">
        <v>377</v>
      </c>
      <c r="B1" s="691"/>
      <c r="C1" s="691"/>
      <c r="D1" s="691"/>
      <c r="E1" s="691"/>
      <c r="F1" s="691"/>
      <c r="G1" s="691"/>
      <c r="H1" s="691"/>
      <c r="I1" s="691"/>
      <c r="J1" s="691"/>
      <c r="K1" s="691"/>
    </row>
    <row r="2" spans="1:32" ht="15.75" customHeight="1">
      <c r="A2" s="421"/>
      <c r="B2" s="421"/>
      <c r="C2" s="421"/>
      <c r="D2" s="421"/>
      <c r="E2" s="421"/>
      <c r="F2" s="435"/>
    </row>
    <row r="4" spans="1:32" ht="51" customHeight="1">
      <c r="A4" s="692" t="s">
        <v>378</v>
      </c>
      <c r="B4" s="692"/>
      <c r="C4" s="692"/>
      <c r="D4" s="692"/>
      <c r="E4" s="692"/>
      <c r="G4" s="692" t="s">
        <v>379</v>
      </c>
      <c r="H4" s="692"/>
      <c r="I4" s="692"/>
      <c r="J4" s="692"/>
      <c r="K4" s="692"/>
    </row>
    <row r="5" spans="1:32" ht="55.5" customHeight="1">
      <c r="A5" s="436" t="s">
        <v>380</v>
      </c>
      <c r="B5" s="437" t="s">
        <v>381</v>
      </c>
      <c r="C5" s="437" t="s">
        <v>382</v>
      </c>
      <c r="D5" s="437" t="s">
        <v>383</v>
      </c>
      <c r="E5" s="437" t="s">
        <v>384</v>
      </c>
      <c r="F5" s="438"/>
      <c r="G5" s="436" t="s">
        <v>380</v>
      </c>
      <c r="H5" s="437" t="s">
        <v>381</v>
      </c>
      <c r="I5" s="437" t="s">
        <v>382</v>
      </c>
      <c r="J5" s="437" t="s">
        <v>383</v>
      </c>
      <c r="K5" s="437" t="s">
        <v>384</v>
      </c>
      <c r="L5" s="439"/>
      <c r="M5" s="439"/>
      <c r="N5" s="439"/>
      <c r="O5" s="439"/>
      <c r="X5" s="693" t="s">
        <v>385</v>
      </c>
      <c r="Y5" s="693"/>
      <c r="Z5" s="693"/>
      <c r="AA5" s="693"/>
      <c r="AB5" s="693"/>
      <c r="AC5" s="693"/>
      <c r="AD5" s="693"/>
      <c r="AE5" s="693"/>
      <c r="AF5" s="693"/>
    </row>
    <row r="6" spans="1:32" ht="24" customHeight="1">
      <c r="A6" s="440" t="s">
        <v>386</v>
      </c>
      <c r="B6" s="441">
        <f>B41</f>
        <v>316.95666666666665</v>
      </c>
      <c r="C6" s="442">
        <v>4</v>
      </c>
      <c r="D6" s="441">
        <f t="shared" ref="D6:D11" si="0">B6*C6</f>
        <v>1267.8266666666666</v>
      </c>
      <c r="E6" s="443">
        <f t="shared" ref="E6:E11" si="1">D6/12</f>
        <v>105.65222222222222</v>
      </c>
      <c r="F6" s="438"/>
      <c r="G6" s="440" t="s">
        <v>386</v>
      </c>
      <c r="H6" s="441">
        <f>B6</f>
        <v>316.95666666666665</v>
      </c>
      <c r="I6" s="442">
        <v>4</v>
      </c>
      <c r="J6" s="441">
        <f t="shared" ref="J6:J11" si="2">H6*I6</f>
        <v>1267.8266666666666</v>
      </c>
      <c r="K6" s="443">
        <f t="shared" ref="K6:K11" si="3">J6/12</f>
        <v>105.65222222222222</v>
      </c>
      <c r="L6" s="439"/>
      <c r="M6" s="439"/>
      <c r="N6" s="439"/>
      <c r="O6" s="439"/>
      <c r="X6" s="693"/>
      <c r="Y6" s="693"/>
      <c r="Z6" s="693"/>
      <c r="AA6" s="693"/>
      <c r="AB6" s="693"/>
      <c r="AC6" s="693"/>
      <c r="AD6" s="693"/>
      <c r="AE6" s="693"/>
      <c r="AF6" s="693"/>
    </row>
    <row r="7" spans="1:32" ht="24" customHeight="1">
      <c r="A7" s="440" t="s">
        <v>387</v>
      </c>
      <c r="B7" s="441">
        <f>B51</f>
        <v>67.966666666666669</v>
      </c>
      <c r="C7" s="444">
        <v>8</v>
      </c>
      <c r="D7" s="441">
        <f t="shared" si="0"/>
        <v>543.73333333333335</v>
      </c>
      <c r="E7" s="443">
        <f t="shared" si="1"/>
        <v>45.31111111111111</v>
      </c>
      <c r="F7" s="438"/>
      <c r="G7" s="440" t="s">
        <v>387</v>
      </c>
      <c r="H7" s="441">
        <f>B7</f>
        <v>67.966666666666669</v>
      </c>
      <c r="I7" s="444">
        <v>8</v>
      </c>
      <c r="J7" s="441">
        <f t="shared" si="2"/>
        <v>543.73333333333335</v>
      </c>
      <c r="K7" s="443">
        <f t="shared" si="3"/>
        <v>45.31111111111111</v>
      </c>
      <c r="L7" s="439"/>
      <c r="M7" s="439"/>
      <c r="N7" s="439"/>
      <c r="O7" s="439"/>
      <c r="X7" s="693"/>
      <c r="Y7" s="693"/>
      <c r="Z7" s="693"/>
      <c r="AA7" s="693"/>
      <c r="AB7" s="693"/>
      <c r="AC7" s="693"/>
      <c r="AD7" s="693"/>
      <c r="AE7" s="693"/>
      <c r="AF7" s="693"/>
    </row>
    <row r="8" spans="1:32" ht="24" customHeight="1">
      <c r="A8" s="440" t="s">
        <v>388</v>
      </c>
      <c r="B8" s="428">
        <f>B61</f>
        <v>17.695</v>
      </c>
      <c r="C8" s="444">
        <v>4</v>
      </c>
      <c r="D8" s="441">
        <f t="shared" si="0"/>
        <v>70.78</v>
      </c>
      <c r="E8" s="443">
        <f t="shared" si="1"/>
        <v>5.8983333333333334</v>
      </c>
      <c r="F8" s="438"/>
      <c r="G8" s="440" t="s">
        <v>388</v>
      </c>
      <c r="H8" s="441">
        <v>0</v>
      </c>
      <c r="I8" s="444">
        <v>0</v>
      </c>
      <c r="J8" s="441">
        <f t="shared" si="2"/>
        <v>0</v>
      </c>
      <c r="K8" s="443">
        <f t="shared" si="3"/>
        <v>0</v>
      </c>
      <c r="L8" s="439"/>
      <c r="M8" s="439"/>
      <c r="N8" s="439"/>
      <c r="O8" s="439"/>
      <c r="X8" s="693"/>
      <c r="Y8" s="693"/>
      <c r="Z8" s="693"/>
      <c r="AA8" s="693"/>
      <c r="AB8" s="693"/>
      <c r="AC8" s="693"/>
      <c r="AD8" s="693"/>
      <c r="AE8" s="693"/>
      <c r="AF8" s="693"/>
    </row>
    <row r="9" spans="1:32" ht="24" customHeight="1">
      <c r="A9" s="440" t="s">
        <v>389</v>
      </c>
      <c r="B9" s="441">
        <f>B71</f>
        <v>46.663333333333334</v>
      </c>
      <c r="C9" s="444">
        <v>2</v>
      </c>
      <c r="D9" s="441">
        <f t="shared" si="0"/>
        <v>93.326666666666668</v>
      </c>
      <c r="E9" s="443">
        <f t="shared" si="1"/>
        <v>7.777222222222222</v>
      </c>
      <c r="F9" s="438"/>
      <c r="G9" s="440" t="s">
        <v>389</v>
      </c>
      <c r="H9" s="441">
        <v>0</v>
      </c>
      <c r="I9" s="444">
        <v>0</v>
      </c>
      <c r="J9" s="441">
        <f t="shared" si="2"/>
        <v>0</v>
      </c>
      <c r="K9" s="443">
        <f t="shared" si="3"/>
        <v>0</v>
      </c>
      <c r="L9" s="439"/>
      <c r="M9" s="439"/>
      <c r="N9" s="439"/>
      <c r="O9" s="439"/>
      <c r="X9" s="693"/>
      <c r="Y9" s="693"/>
      <c r="Z9" s="693"/>
      <c r="AA9" s="693"/>
      <c r="AB9" s="693"/>
      <c r="AC9" s="693"/>
      <c r="AD9" s="693"/>
      <c r="AE9" s="693"/>
      <c r="AF9" s="693"/>
    </row>
    <row r="10" spans="1:32" ht="24" customHeight="1">
      <c r="A10" s="440" t="s">
        <v>390</v>
      </c>
      <c r="B10" s="441">
        <f>B81</f>
        <v>90.720000000000013</v>
      </c>
      <c r="C10" s="444">
        <v>4</v>
      </c>
      <c r="D10" s="441">
        <f t="shared" si="0"/>
        <v>362.88000000000005</v>
      </c>
      <c r="E10" s="443">
        <f t="shared" si="1"/>
        <v>30.240000000000006</v>
      </c>
      <c r="F10" s="438"/>
      <c r="G10" s="440" t="s">
        <v>390</v>
      </c>
      <c r="H10" s="441">
        <f>B10</f>
        <v>90.720000000000013</v>
      </c>
      <c r="I10" s="444">
        <v>4</v>
      </c>
      <c r="J10" s="441">
        <f t="shared" si="2"/>
        <v>362.88000000000005</v>
      </c>
      <c r="K10" s="443">
        <f t="shared" si="3"/>
        <v>30.240000000000006</v>
      </c>
      <c r="L10" s="439"/>
      <c r="M10" s="439"/>
      <c r="N10" s="439"/>
      <c r="O10" s="439"/>
      <c r="X10" s="693"/>
      <c r="Y10" s="693"/>
      <c r="Z10" s="693"/>
      <c r="AA10" s="693"/>
      <c r="AB10" s="693"/>
      <c r="AC10" s="693"/>
      <c r="AD10" s="693"/>
      <c r="AE10" s="693"/>
      <c r="AF10" s="693"/>
    </row>
    <row r="11" spans="1:32" ht="24" customHeight="1">
      <c r="A11" s="440" t="s">
        <v>391</v>
      </c>
      <c r="B11" s="441">
        <f>B91</f>
        <v>7.81</v>
      </c>
      <c r="C11" s="444">
        <v>8</v>
      </c>
      <c r="D11" s="441">
        <f t="shared" si="0"/>
        <v>62.48</v>
      </c>
      <c r="E11" s="443">
        <f t="shared" si="1"/>
        <v>5.2066666666666661</v>
      </c>
      <c r="F11" s="438"/>
      <c r="G11" s="440" t="s">
        <v>391</v>
      </c>
      <c r="H11" s="441">
        <f>B11</f>
        <v>7.81</v>
      </c>
      <c r="I11" s="444">
        <v>8</v>
      </c>
      <c r="J11" s="441">
        <f t="shared" si="2"/>
        <v>62.48</v>
      </c>
      <c r="K11" s="443">
        <f t="shared" si="3"/>
        <v>5.2066666666666661</v>
      </c>
      <c r="L11" s="439"/>
      <c r="M11" s="439"/>
      <c r="N11" s="439"/>
      <c r="O11" s="439"/>
      <c r="X11" s="693"/>
      <c r="Y11" s="693"/>
      <c r="Z11" s="693"/>
      <c r="AA11" s="693"/>
      <c r="AB11" s="693"/>
      <c r="AC11" s="693"/>
      <c r="AD11" s="693"/>
      <c r="AE11" s="693"/>
      <c r="AF11" s="693"/>
    </row>
    <row r="12" spans="1:32" ht="25.5" customHeight="1">
      <c r="A12" s="694" t="s">
        <v>392</v>
      </c>
      <c r="B12" s="694"/>
      <c r="C12" s="694"/>
      <c r="D12" s="695">
        <f>SUM(E6:E11)</f>
        <v>200.0855555555556</v>
      </c>
      <c r="E12" s="695"/>
      <c r="F12" s="438"/>
      <c r="G12" s="694" t="s">
        <v>393</v>
      </c>
      <c r="H12" s="694"/>
      <c r="I12" s="694"/>
      <c r="J12" s="695">
        <f>SUM(K6:K11)</f>
        <v>186.41000000000003</v>
      </c>
      <c r="K12" s="695"/>
      <c r="L12" s="439"/>
      <c r="M12" s="439"/>
      <c r="N12" s="439"/>
      <c r="O12" s="439"/>
      <c r="Q12" s="445"/>
      <c r="X12" s="693"/>
      <c r="Y12" s="693"/>
      <c r="Z12" s="693"/>
      <c r="AA12" s="693"/>
      <c r="AB12" s="693"/>
      <c r="AC12" s="693"/>
      <c r="AD12" s="693"/>
      <c r="AE12" s="693"/>
      <c r="AF12" s="693"/>
    </row>
    <row r="13" spans="1:32" ht="25.5" customHeight="1">
      <c r="A13" s="694" t="s">
        <v>394</v>
      </c>
      <c r="B13" s="694"/>
      <c r="C13" s="694"/>
      <c r="D13" s="696">
        <f>D12*12</f>
        <v>2401.0266666666671</v>
      </c>
      <c r="E13" s="696"/>
      <c r="F13" s="438"/>
      <c r="G13" s="694" t="s">
        <v>395</v>
      </c>
      <c r="H13" s="694"/>
      <c r="I13" s="694"/>
      <c r="J13" s="696">
        <f>J12*12</f>
        <v>2236.92</v>
      </c>
      <c r="K13" s="696"/>
      <c r="L13" s="439"/>
      <c r="M13" s="439"/>
      <c r="N13" s="439"/>
      <c r="O13" s="439"/>
      <c r="X13" s="693"/>
      <c r="Y13" s="693"/>
      <c r="Z13" s="693"/>
      <c r="AA13" s="693"/>
      <c r="AB13" s="693"/>
      <c r="AC13" s="693"/>
      <c r="AD13" s="693"/>
      <c r="AE13" s="693"/>
      <c r="AF13" s="693"/>
    </row>
    <row r="14" spans="1:32" ht="25.5" customHeight="1">
      <c r="A14" s="694" t="s">
        <v>396</v>
      </c>
      <c r="B14" s="694"/>
      <c r="C14" s="694"/>
      <c r="D14" s="696">
        <f>D13*3</f>
        <v>7203.0800000000017</v>
      </c>
      <c r="E14" s="696"/>
      <c r="F14" s="438"/>
      <c r="G14" s="694" t="s">
        <v>397</v>
      </c>
      <c r="H14" s="694"/>
      <c r="I14" s="694"/>
      <c r="J14" s="696">
        <f>J13*3</f>
        <v>6710.76</v>
      </c>
      <c r="K14" s="696"/>
      <c r="L14" s="439"/>
      <c r="M14" s="439"/>
      <c r="N14" s="439"/>
      <c r="O14" s="439"/>
      <c r="X14" s="693"/>
      <c r="Y14" s="693"/>
      <c r="Z14" s="693"/>
      <c r="AA14" s="693"/>
      <c r="AB14" s="693"/>
      <c r="AC14" s="693"/>
      <c r="AD14" s="693"/>
      <c r="AE14" s="693"/>
      <c r="AF14" s="693"/>
    </row>
    <row r="15" spans="1:32">
      <c r="G15" s="433"/>
    </row>
    <row r="17" spans="1:8" ht="51" customHeight="1">
      <c r="A17" s="697" t="s">
        <v>398</v>
      </c>
      <c r="B17" s="697"/>
      <c r="C17" s="697"/>
      <c r="D17" s="697"/>
      <c r="E17" s="697"/>
    </row>
    <row r="18" spans="1:8" ht="55.5" customHeight="1">
      <c r="A18" s="436" t="s">
        <v>380</v>
      </c>
      <c r="B18" s="437" t="s">
        <v>381</v>
      </c>
      <c r="C18" s="437" t="s">
        <v>382</v>
      </c>
      <c r="D18" s="437" t="s">
        <v>383</v>
      </c>
      <c r="E18" s="437" t="s">
        <v>384</v>
      </c>
      <c r="H18" s="435"/>
    </row>
    <row r="19" spans="1:8" ht="25.5" customHeight="1">
      <c r="A19" s="440" t="s">
        <v>386</v>
      </c>
      <c r="B19" s="441">
        <f t="shared" ref="B19:B24" si="4">(B6+H6)/2</f>
        <v>316.95666666666665</v>
      </c>
      <c r="C19" s="442">
        <v>4</v>
      </c>
      <c r="D19" s="441">
        <f t="shared" ref="D19:D24" si="5">B19*C19</f>
        <v>1267.8266666666666</v>
      </c>
      <c r="E19" s="443">
        <f t="shared" ref="E19:E24" si="6">D19/12</f>
        <v>105.65222222222222</v>
      </c>
    </row>
    <row r="20" spans="1:8" ht="25.5" customHeight="1">
      <c r="A20" s="440" t="s">
        <v>387</v>
      </c>
      <c r="B20" s="441">
        <f t="shared" si="4"/>
        <v>67.966666666666669</v>
      </c>
      <c r="C20" s="444">
        <v>8</v>
      </c>
      <c r="D20" s="441">
        <f t="shared" si="5"/>
        <v>543.73333333333335</v>
      </c>
      <c r="E20" s="443">
        <f t="shared" si="6"/>
        <v>45.31111111111111</v>
      </c>
      <c r="G20" s="433"/>
    </row>
    <row r="21" spans="1:8" ht="25.5" customHeight="1">
      <c r="A21" s="440" t="s">
        <v>388</v>
      </c>
      <c r="B21" s="441">
        <f t="shared" si="4"/>
        <v>8.8475000000000001</v>
      </c>
      <c r="C21" s="444">
        <v>4</v>
      </c>
      <c r="D21" s="441">
        <f t="shared" si="5"/>
        <v>35.39</v>
      </c>
      <c r="E21" s="443">
        <f t="shared" si="6"/>
        <v>2.9491666666666667</v>
      </c>
    </row>
    <row r="22" spans="1:8" ht="25.5" customHeight="1">
      <c r="A22" s="440" t="s">
        <v>389</v>
      </c>
      <c r="B22" s="441">
        <f t="shared" si="4"/>
        <v>23.331666666666667</v>
      </c>
      <c r="C22" s="444">
        <v>2</v>
      </c>
      <c r="D22" s="441">
        <f t="shared" si="5"/>
        <v>46.663333333333334</v>
      </c>
      <c r="E22" s="443">
        <f t="shared" si="6"/>
        <v>3.888611111111111</v>
      </c>
    </row>
    <row r="23" spans="1:8" ht="25.5" customHeight="1">
      <c r="A23" s="440" t="s">
        <v>390</v>
      </c>
      <c r="B23" s="441">
        <f t="shared" si="4"/>
        <v>90.720000000000013</v>
      </c>
      <c r="C23" s="444">
        <v>4</v>
      </c>
      <c r="D23" s="441">
        <f t="shared" si="5"/>
        <v>362.88000000000005</v>
      </c>
      <c r="E23" s="443">
        <f t="shared" si="6"/>
        <v>30.240000000000006</v>
      </c>
    </row>
    <row r="24" spans="1:8" ht="25.5" customHeight="1">
      <c r="A24" s="440" t="s">
        <v>391</v>
      </c>
      <c r="B24" s="441">
        <f t="shared" si="4"/>
        <v>7.81</v>
      </c>
      <c r="C24" s="444">
        <v>8</v>
      </c>
      <c r="D24" s="441">
        <f t="shared" si="5"/>
        <v>62.48</v>
      </c>
      <c r="E24" s="443">
        <f t="shared" si="6"/>
        <v>5.2066666666666661</v>
      </c>
    </row>
    <row r="25" spans="1:8" ht="25.5" customHeight="1">
      <c r="A25" s="694" t="s">
        <v>392</v>
      </c>
      <c r="B25" s="694"/>
      <c r="C25" s="694"/>
      <c r="D25" s="695">
        <f>SUM(E19:E24)</f>
        <v>193.2477777777778</v>
      </c>
      <c r="E25" s="695"/>
    </row>
    <row r="26" spans="1:8" ht="25.5" customHeight="1">
      <c r="A26" s="694" t="s">
        <v>394</v>
      </c>
      <c r="B26" s="694"/>
      <c r="C26" s="694"/>
      <c r="D26" s="696">
        <f>D25*12</f>
        <v>2318.9733333333334</v>
      </c>
      <c r="E26" s="696"/>
    </row>
    <row r="27" spans="1:8" ht="25.5" customHeight="1">
      <c r="A27" s="694" t="s">
        <v>396</v>
      </c>
      <c r="B27" s="694"/>
      <c r="C27" s="694"/>
      <c r="D27" s="696">
        <f>D26*3</f>
        <v>6956.92</v>
      </c>
      <c r="E27" s="696"/>
    </row>
    <row r="29" spans="1:8">
      <c r="A29" s="420" t="s">
        <v>399</v>
      </c>
    </row>
    <row r="34" spans="1:21">
      <c r="A34" s="446" t="s">
        <v>386</v>
      </c>
      <c r="B34" s="447"/>
      <c r="C34" s="447"/>
      <c r="D34" s="447"/>
      <c r="E34" s="447"/>
      <c r="F34" s="447"/>
      <c r="G34" s="447"/>
      <c r="H34" s="447"/>
      <c r="I34" s="447"/>
      <c r="J34" s="447"/>
      <c r="K34" s="447"/>
    </row>
    <row r="35" spans="1:21" ht="55.5" customHeight="1">
      <c r="A35" s="448" t="s">
        <v>400</v>
      </c>
      <c r="B35" s="448" t="s">
        <v>401</v>
      </c>
      <c r="C35" s="448" t="s">
        <v>402</v>
      </c>
      <c r="D35" s="448" t="s">
        <v>403</v>
      </c>
      <c r="E35" s="448" t="s">
        <v>404</v>
      </c>
      <c r="F35" s="448" t="s">
        <v>405</v>
      </c>
      <c r="G35" s="448" t="s">
        <v>406</v>
      </c>
      <c r="H35" s="448" t="s">
        <v>407</v>
      </c>
      <c r="I35" s="438"/>
      <c r="J35" s="449" t="s">
        <v>408</v>
      </c>
      <c r="K35" s="450">
        <v>418.51</v>
      </c>
      <c r="L35" s="438"/>
      <c r="Q35" s="433">
        <f>C36-$E$36</f>
        <v>-23.956666666666649</v>
      </c>
      <c r="R35" s="433">
        <f>Q35*Q35</f>
        <v>573.9218777777769</v>
      </c>
    </row>
    <row r="36" spans="1:21" ht="16.5" customHeight="1">
      <c r="A36" s="451">
        <v>1</v>
      </c>
      <c r="B36" s="452" t="s">
        <v>409</v>
      </c>
      <c r="C36" s="453">
        <v>293</v>
      </c>
      <c r="D36" s="698">
        <v>36.520000000000003</v>
      </c>
      <c r="E36" s="699">
        <f>(C36+C37+C38)/3</f>
        <v>316.95666666666665</v>
      </c>
      <c r="F36" s="700">
        <f>(D36/E36)</f>
        <v>0.11522079779570289</v>
      </c>
      <c r="G36" s="701">
        <f>E36-D36</f>
        <v>280.43666666666667</v>
      </c>
      <c r="H36" s="701">
        <f>E36+D36</f>
        <v>353.47666666666663</v>
      </c>
      <c r="I36" s="438"/>
      <c r="J36" s="449" t="s">
        <v>410</v>
      </c>
      <c r="K36" s="450">
        <f>C37</f>
        <v>298.88</v>
      </c>
      <c r="L36" s="438"/>
      <c r="O36" s="433"/>
      <c r="Q36" s="433">
        <f>C37-$E$36</f>
        <v>-18.076666666666654</v>
      </c>
      <c r="R36" s="433">
        <f>Q36*Q36</f>
        <v>326.76587777777729</v>
      </c>
      <c r="S36" s="455"/>
      <c r="T36" s="456"/>
      <c r="U36" s="438"/>
    </row>
    <row r="37" spans="1:21">
      <c r="A37" s="451">
        <v>2</v>
      </c>
      <c r="B37" s="452" t="s">
        <v>411</v>
      </c>
      <c r="C37" s="453">
        <v>298.88</v>
      </c>
      <c r="D37" s="698"/>
      <c r="E37" s="698"/>
      <c r="F37" s="700"/>
      <c r="G37" s="701"/>
      <c r="H37" s="701"/>
      <c r="I37" s="438"/>
      <c r="J37" s="438"/>
      <c r="K37" s="438"/>
      <c r="L37" s="438"/>
      <c r="O37" s="433"/>
      <c r="Q37" s="433">
        <f>C38-$E$36</f>
        <v>42.03333333333336</v>
      </c>
      <c r="R37" s="433">
        <f>Q37*Q37</f>
        <v>1766.8011111111134</v>
      </c>
      <c r="S37" s="455"/>
      <c r="T37" s="456"/>
      <c r="U37" s="456"/>
    </row>
    <row r="38" spans="1:21">
      <c r="A38" s="457">
        <v>3</v>
      </c>
      <c r="B38" s="452" t="s">
        <v>412</v>
      </c>
      <c r="C38" s="453">
        <v>358.99</v>
      </c>
      <c r="D38" s="698"/>
      <c r="E38" s="698"/>
      <c r="F38" s="700"/>
      <c r="G38" s="701"/>
      <c r="H38" s="701"/>
      <c r="I38" s="438"/>
      <c r="J38" s="438"/>
      <c r="K38" s="438"/>
      <c r="L38" s="438"/>
      <c r="O38" s="433"/>
      <c r="Q38" s="433"/>
      <c r="R38" s="455">
        <f>R35+R36+R37</f>
        <v>2667.4888666666675</v>
      </c>
      <c r="S38" s="458">
        <f>R38/2</f>
        <v>1333.7444333333337</v>
      </c>
      <c r="T38" s="455">
        <f>SQRT(S38)</f>
        <v>36.520465951755511</v>
      </c>
      <c r="U38" s="438"/>
    </row>
    <row r="39" spans="1:21">
      <c r="I39" s="438"/>
      <c r="J39" s="438"/>
      <c r="K39" s="438"/>
      <c r="L39" s="438"/>
      <c r="O39" s="433"/>
      <c r="R39" s="438"/>
      <c r="S39" s="455"/>
      <c r="T39" s="455"/>
      <c r="U39" s="455"/>
    </row>
    <row r="40" spans="1:21" ht="55.5" customHeight="1">
      <c r="A40" s="435"/>
      <c r="B40" s="448" t="s">
        <v>413</v>
      </c>
      <c r="C40" s="448" t="s">
        <v>414</v>
      </c>
      <c r="D40" s="422" t="s">
        <v>415</v>
      </c>
      <c r="E40" s="422" t="s">
        <v>416</v>
      </c>
      <c r="F40" s="422" t="s">
        <v>417</v>
      </c>
      <c r="I40" s="438"/>
      <c r="J40" s="438"/>
      <c r="K40" s="438"/>
      <c r="L40" s="438"/>
      <c r="R40" s="438"/>
      <c r="S40" s="438"/>
      <c r="T40" s="438"/>
      <c r="U40" s="438"/>
    </row>
    <row r="41" spans="1:21">
      <c r="B41" s="459">
        <f>E36</f>
        <v>316.95666666666665</v>
      </c>
      <c r="C41" s="451">
        <v>4</v>
      </c>
      <c r="D41" s="460">
        <f>B41*C41</f>
        <v>1267.8266666666666</v>
      </c>
      <c r="E41" s="451">
        <f>C41*3</f>
        <v>12</v>
      </c>
      <c r="F41" s="461">
        <f>D41*3</f>
        <v>3803.4799999999996</v>
      </c>
      <c r="I41" s="438"/>
      <c r="J41" s="438"/>
      <c r="K41" s="438"/>
      <c r="L41" s="438"/>
      <c r="M41" s="462"/>
      <c r="O41" s="435"/>
      <c r="Q41" s="435"/>
      <c r="R41" s="438"/>
      <c r="S41" s="438"/>
      <c r="T41" s="455"/>
      <c r="U41" s="438"/>
    </row>
    <row r="42" spans="1:21">
      <c r="C42" s="462"/>
      <c r="I42" s="438"/>
      <c r="J42" s="438"/>
      <c r="K42" s="438"/>
      <c r="L42" s="438"/>
      <c r="O42" s="435"/>
      <c r="Q42" s="435"/>
      <c r="R42" s="438"/>
    </row>
    <row r="43" spans="1:21">
      <c r="C43" s="462"/>
      <c r="I43" s="438"/>
      <c r="J43" s="438"/>
      <c r="K43" s="438"/>
      <c r="L43" s="438"/>
      <c r="O43" s="435"/>
      <c r="Q43" s="435"/>
      <c r="R43" s="438"/>
    </row>
    <row r="44" spans="1:21">
      <c r="A44" s="446" t="s">
        <v>387</v>
      </c>
      <c r="B44" s="447"/>
      <c r="C44" s="447"/>
      <c r="D44" s="447"/>
      <c r="E44" s="447"/>
      <c r="F44" s="447"/>
      <c r="G44" s="447"/>
      <c r="H44" s="447"/>
      <c r="I44" s="447"/>
      <c r="J44" s="447"/>
      <c r="K44" s="447"/>
      <c r="L44" s="438"/>
      <c r="O44" s="435"/>
      <c r="Q44" s="435">
        <f>C46-$E$46</f>
        <v>-3.9666666666666686</v>
      </c>
      <c r="R44" s="456">
        <f>Q44*Q44</f>
        <v>15.73444444444446</v>
      </c>
      <c r="S44" s="438"/>
      <c r="T44" s="455"/>
    </row>
    <row r="45" spans="1:21" ht="38.25" customHeight="1">
      <c r="A45" s="448" t="s">
        <v>400</v>
      </c>
      <c r="B45" s="448" t="s">
        <v>401</v>
      </c>
      <c r="C45" s="448" t="s">
        <v>402</v>
      </c>
      <c r="D45" s="448" t="s">
        <v>403</v>
      </c>
      <c r="E45" s="448" t="s">
        <v>404</v>
      </c>
      <c r="F45" s="448" t="s">
        <v>405</v>
      </c>
      <c r="G45" s="448" t="s">
        <v>418</v>
      </c>
      <c r="H45" s="448" t="s">
        <v>419</v>
      </c>
      <c r="I45" s="438"/>
      <c r="J45" s="449" t="s">
        <v>408</v>
      </c>
      <c r="K45" s="450">
        <v>126.56</v>
      </c>
      <c r="L45" s="438"/>
      <c r="Q45" s="435">
        <f>C47-$E$46</f>
        <v>1.9333333333333371</v>
      </c>
      <c r="R45" s="456">
        <f>Q45*Q45</f>
        <v>3.7377777777777923</v>
      </c>
    </row>
    <row r="46" spans="1:21" ht="16.5" customHeight="1">
      <c r="A46" s="451">
        <v>1</v>
      </c>
      <c r="B46" s="463" t="s">
        <v>420</v>
      </c>
      <c r="C46" s="453">
        <v>64</v>
      </c>
      <c r="D46" s="702">
        <v>3.44</v>
      </c>
      <c r="E46" s="703">
        <f>(C46+C47+C48)/3</f>
        <v>67.966666666666669</v>
      </c>
      <c r="F46" s="700">
        <f>(D46/E46)</f>
        <v>5.0613045610593425E-2</v>
      </c>
      <c r="G46" s="704">
        <f>E46-D46</f>
        <v>64.526666666666671</v>
      </c>
      <c r="H46" s="705">
        <f>E46+D46</f>
        <v>71.406666666666666</v>
      </c>
      <c r="I46" s="438"/>
      <c r="J46" s="449" t="s">
        <v>410</v>
      </c>
      <c r="K46" s="450">
        <v>175</v>
      </c>
      <c r="L46" s="438"/>
      <c r="Q46" s="435">
        <f>C48-$E$46</f>
        <v>2.0333333333333314</v>
      </c>
      <c r="R46" s="456">
        <f>Q46*Q46</f>
        <v>4.134444444444437</v>
      </c>
    </row>
    <row r="47" spans="1:21">
      <c r="A47" s="451">
        <v>2</v>
      </c>
      <c r="B47" s="452" t="s">
        <v>421</v>
      </c>
      <c r="C47" s="453">
        <v>69.900000000000006</v>
      </c>
      <c r="D47" s="702"/>
      <c r="E47" s="703"/>
      <c r="F47" s="700"/>
      <c r="G47" s="704"/>
      <c r="H47" s="705"/>
      <c r="I47" s="438"/>
      <c r="J47" s="438"/>
      <c r="K47" s="438"/>
      <c r="L47" s="438"/>
      <c r="R47" s="464">
        <f>R44+R45+R46</f>
        <v>23.60666666666669</v>
      </c>
      <c r="S47" s="464">
        <f>R47/2</f>
        <v>11.803333333333345</v>
      </c>
      <c r="T47" s="465">
        <f>SQRT(S47)</f>
        <v>3.4355979586286498</v>
      </c>
    </row>
    <row r="48" spans="1:21">
      <c r="A48" s="451">
        <v>3</v>
      </c>
      <c r="B48" s="452" t="s">
        <v>422</v>
      </c>
      <c r="C48" s="453">
        <v>70</v>
      </c>
      <c r="D48" s="702"/>
      <c r="E48" s="703"/>
      <c r="F48" s="700"/>
      <c r="G48" s="704"/>
      <c r="H48" s="705"/>
      <c r="I48" s="438"/>
      <c r="J48" s="438"/>
      <c r="K48" s="438"/>
      <c r="L48" s="438"/>
      <c r="R48" s="433"/>
      <c r="S48" s="455"/>
    </row>
    <row r="49" spans="1:35">
      <c r="I49" s="438"/>
      <c r="J49" s="438"/>
      <c r="K49" s="438"/>
      <c r="L49" s="438"/>
      <c r="S49" s="455"/>
      <c r="T49" s="455"/>
      <c r="U49" s="455"/>
    </row>
    <row r="50" spans="1:35" ht="63.75" customHeight="1">
      <c r="A50" s="435"/>
      <c r="B50" s="422" t="s">
        <v>413</v>
      </c>
      <c r="C50" s="422" t="s">
        <v>414</v>
      </c>
      <c r="D50" s="422" t="s">
        <v>415</v>
      </c>
      <c r="E50" s="422" t="s">
        <v>416</v>
      </c>
      <c r="F50" s="422" t="s">
        <v>417</v>
      </c>
      <c r="I50" s="438"/>
      <c r="J50" s="438"/>
      <c r="K50" s="438"/>
      <c r="L50" s="438"/>
      <c r="Z50" s="466"/>
      <c r="AA50" s="466"/>
      <c r="AB50" s="466"/>
      <c r="AC50" s="466"/>
      <c r="AD50" s="466"/>
      <c r="AE50" s="466"/>
      <c r="AF50" s="466"/>
    </row>
    <row r="51" spans="1:35">
      <c r="B51" s="459">
        <f>E46</f>
        <v>67.966666666666669</v>
      </c>
      <c r="C51" s="451">
        <v>8</v>
      </c>
      <c r="D51" s="467">
        <f>B51*C51</f>
        <v>543.73333333333335</v>
      </c>
      <c r="E51" s="451">
        <f>C51*3</f>
        <v>24</v>
      </c>
      <c r="F51" s="461">
        <f>D51*3</f>
        <v>1631.2</v>
      </c>
      <c r="Z51" s="466"/>
      <c r="AA51" s="466"/>
      <c r="AB51" s="466"/>
      <c r="AC51" s="466"/>
      <c r="AD51" s="466"/>
      <c r="AE51" s="466"/>
      <c r="AF51" s="466"/>
    </row>
    <row r="52" spans="1:35">
      <c r="K52" s="435"/>
      <c r="L52" s="435"/>
      <c r="N52" s="462"/>
      <c r="AA52" s="465"/>
      <c r="AI52" s="465"/>
    </row>
    <row r="53" spans="1:35">
      <c r="K53" s="435"/>
      <c r="AA53" s="465"/>
      <c r="AI53" s="465"/>
    </row>
    <row r="54" spans="1:35">
      <c r="A54" s="468" t="s">
        <v>388</v>
      </c>
      <c r="B54" s="469"/>
      <c r="C54" s="469"/>
      <c r="D54" s="469"/>
      <c r="E54" s="469"/>
      <c r="F54" s="470" t="s">
        <v>423</v>
      </c>
      <c r="G54" s="469"/>
      <c r="H54" s="469"/>
      <c r="I54" s="469"/>
      <c r="J54" s="469"/>
      <c r="K54" s="469"/>
      <c r="Q54" s="435">
        <f>C56-$E$56</f>
        <v>-0.30499999999999972</v>
      </c>
      <c r="R54" s="435">
        <f>Q54*Q54</f>
        <v>9.302499999999983E-2</v>
      </c>
      <c r="AA54" s="465"/>
      <c r="AI54" s="465"/>
    </row>
    <row r="55" spans="1:35" ht="38.25" customHeight="1">
      <c r="A55" s="448" t="s">
        <v>400</v>
      </c>
      <c r="B55" s="448" t="s">
        <v>401</v>
      </c>
      <c r="C55" s="448" t="s">
        <v>402</v>
      </c>
      <c r="D55" s="448" t="s">
        <v>403</v>
      </c>
      <c r="E55" s="448" t="s">
        <v>404</v>
      </c>
      <c r="F55" s="448" t="s">
        <v>405</v>
      </c>
      <c r="G55" s="448" t="s">
        <v>418</v>
      </c>
      <c r="H55" s="448" t="s">
        <v>419</v>
      </c>
      <c r="J55" s="449" t="s">
        <v>408</v>
      </c>
      <c r="K55" s="450">
        <v>24.13</v>
      </c>
      <c r="L55" s="438"/>
      <c r="Q55" s="435">
        <f>C57-$E$56</f>
        <v>0.30499999999999972</v>
      </c>
      <c r="R55" s="435">
        <f>Q55*Q55</f>
        <v>9.302499999999983E-2</v>
      </c>
      <c r="AA55" s="465"/>
      <c r="AI55" s="465"/>
    </row>
    <row r="56" spans="1:35">
      <c r="A56" s="457">
        <v>1</v>
      </c>
      <c r="B56" s="463" t="s">
        <v>424</v>
      </c>
      <c r="C56" s="454">
        <v>17.39</v>
      </c>
      <c r="D56" s="702">
        <v>0.43</v>
      </c>
      <c r="E56" s="706">
        <f>(C56+C57)/2</f>
        <v>17.695</v>
      </c>
      <c r="F56" s="700">
        <f>(D56/E56)</f>
        <v>2.4300649901102006E-2</v>
      </c>
      <c r="G56" s="705">
        <f>E56-D56</f>
        <v>17.265000000000001</v>
      </c>
      <c r="H56" s="705">
        <f>E56+D56</f>
        <v>18.125</v>
      </c>
      <c r="J56" s="449" t="s">
        <v>410</v>
      </c>
      <c r="K56" s="450">
        <v>18</v>
      </c>
      <c r="L56" s="438"/>
      <c r="M56" s="471"/>
      <c r="Q56" s="435"/>
      <c r="S56" s="455"/>
      <c r="AA56" s="465"/>
      <c r="AI56" s="465"/>
    </row>
    <row r="57" spans="1:35">
      <c r="A57" s="451">
        <v>2</v>
      </c>
      <c r="B57" s="463" t="s">
        <v>409</v>
      </c>
      <c r="C57" s="453">
        <v>18</v>
      </c>
      <c r="D57" s="702"/>
      <c r="E57" s="702"/>
      <c r="F57" s="702"/>
      <c r="G57" s="702"/>
      <c r="H57" s="702"/>
      <c r="J57" s="438"/>
      <c r="K57" s="438"/>
      <c r="L57" s="438"/>
      <c r="R57" s="433">
        <f>R54+R55</f>
        <v>0.18604999999999966</v>
      </c>
      <c r="S57" s="455">
        <f>R57/1</f>
        <v>0.18604999999999966</v>
      </c>
      <c r="T57" s="465">
        <f>SQRT(S57)</f>
        <v>0.43133513652379357</v>
      </c>
      <c r="AA57" s="465"/>
      <c r="AI57" s="465"/>
    </row>
    <row r="58" spans="1:35">
      <c r="A58" s="451">
        <v>3</v>
      </c>
      <c r="B58" s="463" t="s">
        <v>422</v>
      </c>
      <c r="C58" s="453">
        <v>37</v>
      </c>
      <c r="D58" s="702"/>
      <c r="E58" s="702"/>
      <c r="F58" s="702"/>
      <c r="G58" s="702"/>
      <c r="H58" s="702"/>
      <c r="J58" s="438"/>
      <c r="K58" s="438"/>
      <c r="L58" s="438"/>
      <c r="R58" s="433"/>
      <c r="S58" s="455"/>
      <c r="AA58" s="465"/>
      <c r="AI58" s="465"/>
    </row>
    <row r="59" spans="1:35">
      <c r="J59" s="438"/>
      <c r="K59" s="438"/>
      <c r="L59" s="438"/>
      <c r="S59" s="455"/>
      <c r="T59" s="433"/>
      <c r="U59" s="455"/>
      <c r="Z59" s="465"/>
    </row>
    <row r="60" spans="1:35" ht="63.75" customHeight="1">
      <c r="A60" s="435"/>
      <c r="B60" s="422" t="s">
        <v>413</v>
      </c>
      <c r="C60" s="422" t="s">
        <v>414</v>
      </c>
      <c r="D60" s="422" t="s">
        <v>415</v>
      </c>
      <c r="E60" s="422" t="s">
        <v>416</v>
      </c>
      <c r="F60" s="422" t="s">
        <v>417</v>
      </c>
      <c r="J60" s="438"/>
      <c r="K60" s="438"/>
      <c r="L60" s="438"/>
    </row>
    <row r="61" spans="1:35">
      <c r="B61" s="459">
        <f>E56</f>
        <v>17.695</v>
      </c>
      <c r="C61" s="451">
        <v>4</v>
      </c>
      <c r="D61" s="467">
        <f>B61*C61</f>
        <v>70.78</v>
      </c>
      <c r="E61" s="451">
        <f>C61*3</f>
        <v>12</v>
      </c>
      <c r="F61" s="461">
        <f>D61*3</f>
        <v>212.34</v>
      </c>
      <c r="J61" s="438"/>
      <c r="K61" s="438"/>
      <c r="L61" s="438"/>
      <c r="M61" s="433"/>
    </row>
    <row r="62" spans="1:35">
      <c r="J62" s="438"/>
      <c r="K62" s="438"/>
      <c r="L62" s="438"/>
    </row>
    <row r="63" spans="1:35">
      <c r="J63" s="438"/>
      <c r="K63" s="438"/>
      <c r="L63" s="438"/>
    </row>
    <row r="64" spans="1:35">
      <c r="A64" s="446" t="s">
        <v>389</v>
      </c>
      <c r="B64" s="447"/>
      <c r="C64" s="447"/>
      <c r="D64" s="447"/>
      <c r="E64" s="447"/>
      <c r="F64" s="447"/>
      <c r="G64" s="447"/>
      <c r="H64" s="447"/>
      <c r="I64" s="447"/>
      <c r="J64" s="447"/>
      <c r="K64" s="447"/>
      <c r="L64" s="438"/>
      <c r="Q64" s="435">
        <f>C66-$E$66</f>
        <v>-8.663333333333334</v>
      </c>
      <c r="R64" s="435">
        <f>Q64*Q64</f>
        <v>75.053344444444463</v>
      </c>
    </row>
    <row r="65" spans="1:21" ht="38.25" customHeight="1">
      <c r="A65" s="448" t="s">
        <v>400</v>
      </c>
      <c r="B65" s="448" t="s">
        <v>401</v>
      </c>
      <c r="C65" s="448" t="s">
        <v>402</v>
      </c>
      <c r="D65" s="448" t="s">
        <v>403</v>
      </c>
      <c r="E65" s="448" t="s">
        <v>404</v>
      </c>
      <c r="F65" s="448" t="s">
        <v>405</v>
      </c>
      <c r="G65" s="448" t="s">
        <v>418</v>
      </c>
      <c r="H65" s="448" t="s">
        <v>419</v>
      </c>
      <c r="J65" s="449" t="s">
        <v>408</v>
      </c>
      <c r="K65" s="450">
        <v>44.76</v>
      </c>
      <c r="L65" s="438"/>
      <c r="Q65" s="435">
        <f>C67-$E$66</f>
        <v>4.326666666666668</v>
      </c>
      <c r="R65" s="435">
        <f>Q65*Q65</f>
        <v>18.720044444444454</v>
      </c>
    </row>
    <row r="66" spans="1:21" ht="18.75" customHeight="1">
      <c r="A66" s="457">
        <v>1</v>
      </c>
      <c r="B66" s="452" t="s">
        <v>425</v>
      </c>
      <c r="C66" s="454">
        <v>38</v>
      </c>
      <c r="D66" s="702">
        <v>7.5</v>
      </c>
      <c r="E66" s="706">
        <f>(C66+C67+C68)/3</f>
        <v>46.663333333333334</v>
      </c>
      <c r="F66" s="700">
        <f>(D66/E66)</f>
        <v>0.16072576612615186</v>
      </c>
      <c r="G66" s="705">
        <f>E66-D66</f>
        <v>39.163333333333334</v>
      </c>
      <c r="H66" s="705">
        <f>E66+D66</f>
        <v>54.163333333333334</v>
      </c>
      <c r="J66" s="449" t="s">
        <v>410</v>
      </c>
      <c r="K66" s="450">
        <v>28</v>
      </c>
      <c r="L66" s="438"/>
      <c r="Q66" s="435">
        <f>C68-$E$66</f>
        <v>4.336666666666666</v>
      </c>
      <c r="R66" s="435">
        <f>Q66*Q66</f>
        <v>18.806677777777772</v>
      </c>
      <c r="S66" s="455"/>
    </row>
    <row r="67" spans="1:21">
      <c r="A67" s="457">
        <v>2</v>
      </c>
      <c r="B67" s="452" t="s">
        <v>426</v>
      </c>
      <c r="C67" s="454">
        <v>50.99</v>
      </c>
      <c r="D67" s="702"/>
      <c r="E67" s="702"/>
      <c r="F67" s="702"/>
      <c r="G67" s="702"/>
      <c r="H67" s="702"/>
      <c r="J67" s="438"/>
      <c r="K67" s="438"/>
      <c r="L67" s="438"/>
      <c r="R67" s="433">
        <f>R64+R65+R66</f>
        <v>112.58006666666668</v>
      </c>
      <c r="S67" s="455">
        <f>R67/2</f>
        <v>56.290033333333341</v>
      </c>
      <c r="T67" s="465">
        <f>SQRT(S67)</f>
        <v>7.5026684141932689</v>
      </c>
    </row>
    <row r="68" spans="1:21">
      <c r="A68" s="457">
        <v>3</v>
      </c>
      <c r="B68" s="452" t="s">
        <v>427</v>
      </c>
      <c r="C68" s="454">
        <v>51</v>
      </c>
      <c r="D68" s="702"/>
      <c r="E68" s="702"/>
      <c r="F68" s="702"/>
      <c r="G68" s="702"/>
      <c r="H68" s="702"/>
      <c r="J68" s="438"/>
      <c r="K68" s="438"/>
      <c r="L68" s="438"/>
      <c r="R68" s="433"/>
      <c r="S68" s="455"/>
    </row>
    <row r="69" spans="1:21">
      <c r="J69" s="438"/>
      <c r="K69" s="438"/>
      <c r="L69" s="438"/>
      <c r="S69" s="433"/>
      <c r="T69" s="433"/>
      <c r="U69" s="455"/>
    </row>
    <row r="70" spans="1:21" ht="63.75" customHeight="1">
      <c r="A70" s="435"/>
      <c r="B70" s="422" t="s">
        <v>413</v>
      </c>
      <c r="C70" s="422" t="s">
        <v>414</v>
      </c>
      <c r="D70" s="422" t="s">
        <v>415</v>
      </c>
      <c r="E70" s="422" t="s">
        <v>416</v>
      </c>
      <c r="F70" s="422" t="s">
        <v>417</v>
      </c>
    </row>
    <row r="71" spans="1:21">
      <c r="B71" s="459">
        <f>E66</f>
        <v>46.663333333333334</v>
      </c>
      <c r="C71" s="451">
        <v>2</v>
      </c>
      <c r="D71" s="467">
        <f>B71*C71</f>
        <v>93.326666666666668</v>
      </c>
      <c r="E71" s="451">
        <f>C71*3</f>
        <v>6</v>
      </c>
      <c r="F71" s="461">
        <f>D71*3</f>
        <v>279.98</v>
      </c>
    </row>
    <row r="73" spans="1:21">
      <c r="A73" s="438"/>
      <c r="B73" s="438"/>
      <c r="C73" s="438"/>
      <c r="D73" s="438"/>
      <c r="E73" s="438"/>
      <c r="F73" s="438"/>
      <c r="G73" s="438"/>
      <c r="H73" s="438"/>
      <c r="I73" s="438"/>
      <c r="J73" s="438"/>
      <c r="K73" s="438"/>
    </row>
    <row r="74" spans="1:21">
      <c r="A74" s="446" t="s">
        <v>390</v>
      </c>
      <c r="B74" s="447"/>
      <c r="C74" s="447"/>
      <c r="D74" s="447"/>
      <c r="E74" s="447"/>
      <c r="F74" s="447"/>
      <c r="G74" s="447"/>
      <c r="H74" s="447"/>
      <c r="I74" s="447"/>
      <c r="J74" s="447"/>
      <c r="K74" s="447"/>
      <c r="L74" s="438"/>
      <c r="P74" s="435"/>
      <c r="Q74" s="435">
        <f>C76-$E$76</f>
        <v>-2.5200000000000102</v>
      </c>
      <c r="R74" s="435">
        <f>Q74*Q74</f>
        <v>6.350400000000052</v>
      </c>
    </row>
    <row r="75" spans="1:21" ht="38.25" customHeight="1">
      <c r="A75" s="448" t="s">
        <v>400</v>
      </c>
      <c r="B75" s="422" t="s">
        <v>401</v>
      </c>
      <c r="C75" s="448" t="s">
        <v>402</v>
      </c>
      <c r="D75" s="448" t="s">
        <v>403</v>
      </c>
      <c r="E75" s="448" t="s">
        <v>404</v>
      </c>
      <c r="F75" s="448" t="s">
        <v>405</v>
      </c>
      <c r="G75" s="448" t="s">
        <v>418</v>
      </c>
      <c r="H75" s="448" t="s">
        <v>419</v>
      </c>
      <c r="J75" s="449" t="s">
        <v>408</v>
      </c>
      <c r="K75" s="450" t="s">
        <v>428</v>
      </c>
      <c r="L75" s="438"/>
      <c r="Q75" s="435">
        <f>C77-$E$76</f>
        <v>-2.3200000000000074</v>
      </c>
      <c r="R75" s="435">
        <f>Q75*Q75</f>
        <v>5.3824000000000343</v>
      </c>
    </row>
    <row r="76" spans="1:21" ht="16.5" customHeight="1">
      <c r="A76" s="457">
        <v>1</v>
      </c>
      <c r="B76" s="472" t="s">
        <v>429</v>
      </c>
      <c r="C76" s="454">
        <v>88.2</v>
      </c>
      <c r="D76" s="702">
        <v>4.1900000000000004</v>
      </c>
      <c r="E76" s="703">
        <f>(C76+C77+C78)/3</f>
        <v>90.720000000000013</v>
      </c>
      <c r="F76" s="707">
        <f>(D76/E76)</f>
        <v>4.6186067019400354E-2</v>
      </c>
      <c r="G76" s="705">
        <f>E76-D76</f>
        <v>86.530000000000015</v>
      </c>
      <c r="H76" s="704">
        <f>E76+D76</f>
        <v>94.910000000000011</v>
      </c>
      <c r="J76" s="449" t="s">
        <v>410</v>
      </c>
      <c r="K76" s="450">
        <v>95.56</v>
      </c>
      <c r="L76" s="438"/>
      <c r="Q76" s="435">
        <f>C78-$E$76</f>
        <v>4.8399999999999892</v>
      </c>
      <c r="R76" s="435">
        <f>Q76*Q76</f>
        <v>23.425599999999896</v>
      </c>
      <c r="S76" s="455"/>
    </row>
    <row r="77" spans="1:21">
      <c r="A77" s="451">
        <v>2</v>
      </c>
      <c r="B77" s="452" t="s">
        <v>422</v>
      </c>
      <c r="C77" s="454">
        <v>88.4</v>
      </c>
      <c r="D77" s="702"/>
      <c r="E77" s="703"/>
      <c r="F77" s="703"/>
      <c r="G77" s="705"/>
      <c r="H77" s="704"/>
      <c r="J77" s="438"/>
      <c r="K77" s="438"/>
      <c r="L77" s="438"/>
      <c r="R77" s="433">
        <f>R74+R75+R76</f>
        <v>35.158399999999986</v>
      </c>
      <c r="S77" s="455">
        <f>R77/2</f>
        <v>17.579199999999993</v>
      </c>
      <c r="T77" s="465">
        <f>SQRT(S77)</f>
        <v>4.1927556570828202</v>
      </c>
    </row>
    <row r="78" spans="1:21">
      <c r="A78" s="451">
        <v>3</v>
      </c>
      <c r="B78" s="452" t="s">
        <v>430</v>
      </c>
      <c r="C78" s="454">
        <v>95.56</v>
      </c>
      <c r="D78" s="702"/>
      <c r="E78" s="703"/>
      <c r="F78" s="703"/>
      <c r="G78" s="705"/>
      <c r="H78" s="704"/>
      <c r="J78" s="438"/>
      <c r="K78" s="438"/>
      <c r="L78" s="438"/>
      <c r="R78" s="433"/>
      <c r="S78" s="455"/>
    </row>
    <row r="79" spans="1:21">
      <c r="J79" s="438"/>
      <c r="K79" s="438"/>
      <c r="L79" s="438"/>
      <c r="S79" s="455"/>
      <c r="T79" s="433"/>
      <c r="U79" s="455"/>
    </row>
    <row r="80" spans="1:21" ht="63.75" customHeight="1">
      <c r="A80" s="435"/>
      <c r="B80" s="422" t="s">
        <v>413</v>
      </c>
      <c r="C80" s="422" t="s">
        <v>414</v>
      </c>
      <c r="D80" s="422" t="s">
        <v>415</v>
      </c>
      <c r="E80" s="422" t="s">
        <v>416</v>
      </c>
      <c r="F80" s="422" t="s">
        <v>417</v>
      </c>
      <c r="J80" s="438"/>
      <c r="K80" s="438"/>
      <c r="L80" s="438"/>
    </row>
    <row r="81" spans="1:21">
      <c r="B81" s="459">
        <f>E76</f>
        <v>90.720000000000013</v>
      </c>
      <c r="C81" s="451">
        <v>4</v>
      </c>
      <c r="D81" s="467">
        <f>B81*C81</f>
        <v>362.88000000000005</v>
      </c>
      <c r="E81" s="451">
        <f>C81*3</f>
        <v>12</v>
      </c>
      <c r="F81" s="461">
        <f>D81*3</f>
        <v>1088.6400000000001</v>
      </c>
      <c r="J81" s="438"/>
      <c r="K81" s="438"/>
      <c r="L81" s="438"/>
    </row>
    <row r="82" spans="1:21">
      <c r="J82" s="438"/>
      <c r="K82" s="438"/>
      <c r="L82" s="438"/>
    </row>
    <row r="83" spans="1:21">
      <c r="J83" s="438"/>
      <c r="K83" s="438"/>
      <c r="L83" s="438"/>
    </row>
    <row r="84" spans="1:21">
      <c r="A84" s="446" t="s">
        <v>391</v>
      </c>
      <c r="B84" s="447"/>
      <c r="C84" s="447"/>
      <c r="D84" s="447"/>
      <c r="E84" s="447"/>
      <c r="F84" s="447"/>
      <c r="G84" s="447"/>
      <c r="H84" s="447"/>
      <c r="I84" s="447"/>
      <c r="J84" s="447"/>
      <c r="K84" s="447"/>
      <c r="L84" s="438"/>
      <c r="Q84" s="435">
        <f>C86-$E$86</f>
        <v>-1.3599999999999994</v>
      </c>
      <c r="R84" s="435">
        <f>Q84*Q84</f>
        <v>1.8495999999999984</v>
      </c>
    </row>
    <row r="85" spans="1:21" ht="55.5" customHeight="1">
      <c r="A85" s="448" t="s">
        <v>400</v>
      </c>
      <c r="B85" s="448" t="s">
        <v>401</v>
      </c>
      <c r="C85" s="448" t="s">
        <v>402</v>
      </c>
      <c r="D85" s="448" t="s">
        <v>403</v>
      </c>
      <c r="E85" s="448" t="s">
        <v>404</v>
      </c>
      <c r="F85" s="448" t="s">
        <v>405</v>
      </c>
      <c r="G85" s="448" t="s">
        <v>418</v>
      </c>
      <c r="H85" s="448" t="s">
        <v>419</v>
      </c>
      <c r="J85" s="449" t="s">
        <v>408</v>
      </c>
      <c r="K85" s="450">
        <v>11.57</v>
      </c>
      <c r="L85" s="438"/>
      <c r="Q85" s="435">
        <f>C87-$E$86</f>
        <v>0.1800000000000006</v>
      </c>
      <c r="R85" s="435">
        <f>Q85*Q85</f>
        <v>3.240000000000022E-2</v>
      </c>
    </row>
    <row r="86" spans="1:21">
      <c r="A86" s="451">
        <v>1</v>
      </c>
      <c r="B86" s="452" t="s">
        <v>431</v>
      </c>
      <c r="C86" s="454">
        <v>6.45</v>
      </c>
      <c r="D86" s="702">
        <v>1.28</v>
      </c>
      <c r="E86" s="706">
        <f>(C86+C87+C88)/3</f>
        <v>7.81</v>
      </c>
      <c r="F86" s="707">
        <f>(D86/E86)</f>
        <v>0.16389244558258645</v>
      </c>
      <c r="G86" s="705">
        <f>E86-D86</f>
        <v>6.5299999999999994</v>
      </c>
      <c r="H86" s="705">
        <f>E86+D86</f>
        <v>9.09</v>
      </c>
      <c r="J86" s="449" t="s">
        <v>410</v>
      </c>
      <c r="K86" s="450">
        <v>10.95</v>
      </c>
      <c r="L86" s="438"/>
      <c r="Q86" s="435">
        <f>C88-$E$86</f>
        <v>1.1800000000000006</v>
      </c>
      <c r="R86" s="435">
        <f>Q86*Q86</f>
        <v>1.3924000000000014</v>
      </c>
      <c r="S86" s="433"/>
    </row>
    <row r="87" spans="1:21">
      <c r="A87" s="451">
        <v>2</v>
      </c>
      <c r="B87" s="452" t="s">
        <v>432</v>
      </c>
      <c r="C87" s="454">
        <v>7.99</v>
      </c>
      <c r="D87" s="702"/>
      <c r="E87" s="702"/>
      <c r="F87" s="707"/>
      <c r="G87" s="705"/>
      <c r="H87" s="705"/>
      <c r="R87" s="433">
        <f>R84+R85+R86</f>
        <v>3.2744</v>
      </c>
      <c r="S87" s="433">
        <f>R87/2</f>
        <v>1.6372</v>
      </c>
      <c r="T87" s="465">
        <f>SQRT(S87)</f>
        <v>1.2795311641378651</v>
      </c>
    </row>
    <row r="88" spans="1:21">
      <c r="A88" s="451">
        <v>3</v>
      </c>
      <c r="B88" s="452" t="s">
        <v>426</v>
      </c>
      <c r="C88" s="454">
        <v>8.99</v>
      </c>
      <c r="D88" s="702"/>
      <c r="E88" s="702"/>
      <c r="F88" s="707"/>
      <c r="G88" s="705"/>
      <c r="H88" s="705"/>
      <c r="R88" s="433"/>
      <c r="S88" s="433"/>
    </row>
    <row r="89" spans="1:21">
      <c r="S89" s="433"/>
      <c r="T89" s="433"/>
      <c r="U89" s="455"/>
    </row>
    <row r="90" spans="1:21" ht="63.75" customHeight="1">
      <c r="B90" s="422" t="s">
        <v>413</v>
      </c>
      <c r="C90" s="422" t="s">
        <v>414</v>
      </c>
      <c r="D90" s="422" t="s">
        <v>415</v>
      </c>
      <c r="E90" s="422" t="s">
        <v>416</v>
      </c>
      <c r="F90" s="422" t="s">
        <v>417</v>
      </c>
    </row>
    <row r="91" spans="1:21">
      <c r="B91" s="459">
        <f>E86</f>
        <v>7.81</v>
      </c>
      <c r="C91" s="451">
        <v>8</v>
      </c>
      <c r="D91" s="467">
        <f>B91*C91</f>
        <v>62.48</v>
      </c>
      <c r="E91" s="451">
        <f>C91*3</f>
        <v>24</v>
      </c>
      <c r="F91" s="461">
        <f>D91*3</f>
        <v>187.44</v>
      </c>
    </row>
  </sheetData>
  <mergeCells count="53">
    <mergeCell ref="D86:D88"/>
    <mergeCell ref="E86:E88"/>
    <mergeCell ref="F86:F88"/>
    <mergeCell ref="G86:G88"/>
    <mergeCell ref="H86:H88"/>
    <mergeCell ref="D76:D78"/>
    <mergeCell ref="E76:E78"/>
    <mergeCell ref="F76:F78"/>
    <mergeCell ref="G76:G78"/>
    <mergeCell ref="H76:H78"/>
    <mergeCell ref="D66:D68"/>
    <mergeCell ref="E66:E68"/>
    <mergeCell ref="F66:F68"/>
    <mergeCell ref="G66:G68"/>
    <mergeCell ref="H66:H68"/>
    <mergeCell ref="D56:D58"/>
    <mergeCell ref="E56:E58"/>
    <mergeCell ref="F56:F58"/>
    <mergeCell ref="G56:G58"/>
    <mergeCell ref="H56:H58"/>
    <mergeCell ref="G36:G38"/>
    <mergeCell ref="H36:H38"/>
    <mergeCell ref="D46:D48"/>
    <mergeCell ref="E46:E48"/>
    <mergeCell ref="F46:F48"/>
    <mergeCell ref="G46:G48"/>
    <mergeCell ref="H46:H48"/>
    <mergeCell ref="A27:C27"/>
    <mergeCell ref="D27:E27"/>
    <mergeCell ref="D36:D38"/>
    <mergeCell ref="E36:E38"/>
    <mergeCell ref="F36:F38"/>
    <mergeCell ref="A17:E17"/>
    <mergeCell ref="A25:C25"/>
    <mergeCell ref="D25:E25"/>
    <mergeCell ref="A26:C26"/>
    <mergeCell ref="D26:E26"/>
    <mergeCell ref="A1:K1"/>
    <mergeCell ref="A4:E4"/>
    <mergeCell ref="G4:K4"/>
    <mergeCell ref="X5:AF14"/>
    <mergeCell ref="A12:C12"/>
    <mergeCell ref="D12:E12"/>
    <mergeCell ref="G12:I12"/>
    <mergeCell ref="J12:K12"/>
    <mergeCell ref="A13:C13"/>
    <mergeCell ref="D13:E13"/>
    <mergeCell ref="G13:I13"/>
    <mergeCell ref="J13:K13"/>
    <mergeCell ref="A14:C14"/>
    <mergeCell ref="D14:E14"/>
    <mergeCell ref="G14:I14"/>
    <mergeCell ref="J14:K14"/>
  </mergeCells>
  <pageMargins left="0.78749999999999998" right="0.78749999999999998" top="0.78749999999999998" bottom="0.78749999999999998" header="0.511811023622047" footer="0.511811023622047"/>
  <pageSetup paperSize="9" fitToHeight="0"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0"/>
  <sheetViews>
    <sheetView zoomScaleNormal="100" workbookViewId="0"/>
  </sheetViews>
  <sheetFormatPr defaultColWidth="8.7109375" defaultRowHeight="15"/>
  <cols>
    <col min="1" max="1" width="36.85546875" customWidth="1"/>
    <col min="2" max="2" width="20.7109375" customWidth="1"/>
    <col min="3" max="3" width="99.42578125" customWidth="1"/>
    <col min="4" max="4" width="19.42578125" customWidth="1"/>
    <col min="5" max="5" width="14" customWidth="1"/>
    <col min="6" max="6" width="12" customWidth="1"/>
    <col min="7" max="7" width="20.7109375" customWidth="1"/>
    <col min="8" max="8" width="22.42578125" customWidth="1"/>
  </cols>
  <sheetData>
    <row r="1" spans="1:8" ht="15.75" customHeight="1">
      <c r="A1" s="504" t="s">
        <v>433</v>
      </c>
      <c r="B1" s="504" t="s">
        <v>434</v>
      </c>
      <c r="C1" s="504" t="s">
        <v>435</v>
      </c>
      <c r="D1" s="504" t="s">
        <v>436</v>
      </c>
      <c r="E1" s="505" t="s">
        <v>437</v>
      </c>
      <c r="F1" s="505" t="s">
        <v>438</v>
      </c>
      <c r="G1" s="505" t="s">
        <v>439</v>
      </c>
      <c r="H1" s="505" t="s">
        <v>440</v>
      </c>
    </row>
    <row r="2" spans="1:8" ht="47.25" customHeight="1">
      <c r="A2" s="708" t="s">
        <v>441</v>
      </c>
      <c r="B2" s="507" t="s">
        <v>442</v>
      </c>
      <c r="C2" s="508" t="s">
        <v>443</v>
      </c>
      <c r="D2" s="509">
        <v>4</v>
      </c>
      <c r="E2" s="510">
        <v>92.73</v>
      </c>
      <c r="F2" s="510">
        <f t="shared" ref="F2:F12" si="0">E2*D2</f>
        <v>370.92</v>
      </c>
      <c r="G2" s="709">
        <f>SUM(F2:F6)</f>
        <v>584.26</v>
      </c>
      <c r="H2" s="710">
        <f>G2/12</f>
        <v>48.688333333333333</v>
      </c>
    </row>
    <row r="3" spans="1:8" ht="15.75" customHeight="1">
      <c r="A3" s="708"/>
      <c r="B3" s="509" t="s">
        <v>444</v>
      </c>
      <c r="C3" s="511" t="s">
        <v>445</v>
      </c>
      <c r="D3" s="509">
        <v>4</v>
      </c>
      <c r="E3" s="510">
        <v>8.7200000000000006</v>
      </c>
      <c r="F3" s="510">
        <f t="shared" si="0"/>
        <v>34.880000000000003</v>
      </c>
      <c r="G3" s="709"/>
      <c r="H3" s="709"/>
    </row>
    <row r="4" spans="1:8" ht="15.75" customHeight="1">
      <c r="A4" s="708"/>
      <c r="B4" s="509" t="s">
        <v>446</v>
      </c>
      <c r="C4" s="511" t="s">
        <v>447</v>
      </c>
      <c r="D4" s="509">
        <v>4</v>
      </c>
      <c r="E4" s="510">
        <v>21.32</v>
      </c>
      <c r="F4" s="510">
        <f t="shared" si="0"/>
        <v>85.28</v>
      </c>
      <c r="G4" s="709"/>
      <c r="H4" s="709"/>
    </row>
    <row r="5" spans="1:8" ht="15.75" customHeight="1">
      <c r="A5" s="708"/>
      <c r="B5" s="509" t="s">
        <v>448</v>
      </c>
      <c r="C5" s="511" t="s">
        <v>449</v>
      </c>
      <c r="D5" s="509">
        <v>4</v>
      </c>
      <c r="E5" s="510">
        <v>11.66</v>
      </c>
      <c r="F5" s="510">
        <f t="shared" si="0"/>
        <v>46.64</v>
      </c>
      <c r="G5" s="709"/>
      <c r="H5" s="709"/>
    </row>
    <row r="6" spans="1:8" ht="15.75" customHeight="1">
      <c r="A6" s="708"/>
      <c r="B6" s="509" t="s">
        <v>450</v>
      </c>
      <c r="C6" s="511" t="s">
        <v>451</v>
      </c>
      <c r="D6" s="509">
        <v>1</v>
      </c>
      <c r="E6" s="510">
        <v>46.54</v>
      </c>
      <c r="F6" s="510">
        <f t="shared" si="0"/>
        <v>46.54</v>
      </c>
      <c r="G6" s="709"/>
      <c r="H6" s="709"/>
    </row>
    <row r="7" spans="1:8" ht="15.75" customHeight="1">
      <c r="A7" s="708" t="s">
        <v>452</v>
      </c>
      <c r="B7" s="509" t="s">
        <v>453</v>
      </c>
      <c r="C7" s="511" t="s">
        <v>454</v>
      </c>
      <c r="D7" s="509">
        <v>2</v>
      </c>
      <c r="E7" s="510">
        <v>99.96</v>
      </c>
      <c r="F7" s="510">
        <f t="shared" si="0"/>
        <v>199.92</v>
      </c>
      <c r="G7" s="709">
        <f>SUM(F7:F12)</f>
        <v>492.91</v>
      </c>
      <c r="H7" s="710">
        <f>G7/12</f>
        <v>41.075833333333335</v>
      </c>
    </row>
    <row r="8" spans="1:8" ht="15.75" customHeight="1">
      <c r="A8" s="708"/>
      <c r="B8" s="509" t="s">
        <v>455</v>
      </c>
      <c r="C8" s="511" t="s">
        <v>456</v>
      </c>
      <c r="D8" s="509">
        <v>1</v>
      </c>
      <c r="E8" s="510">
        <v>11.68</v>
      </c>
      <c r="F8" s="510">
        <f t="shared" si="0"/>
        <v>11.68</v>
      </c>
      <c r="G8" s="709"/>
      <c r="H8" s="709"/>
    </row>
    <row r="9" spans="1:8" ht="15.75" customHeight="1">
      <c r="A9" s="708"/>
      <c r="B9" s="509" t="s">
        <v>457</v>
      </c>
      <c r="C9" s="511" t="s">
        <v>458</v>
      </c>
      <c r="D9" s="509">
        <v>2</v>
      </c>
      <c r="E9" s="510">
        <v>76.13</v>
      </c>
      <c r="F9" s="510">
        <f t="shared" si="0"/>
        <v>152.26</v>
      </c>
      <c r="G9" s="709"/>
      <c r="H9" s="709"/>
    </row>
    <row r="10" spans="1:8" ht="15.75" customHeight="1">
      <c r="A10" s="708"/>
      <c r="B10" s="509" t="s">
        <v>459</v>
      </c>
      <c r="C10" s="511" t="s">
        <v>460</v>
      </c>
      <c r="D10" s="509">
        <v>2</v>
      </c>
      <c r="E10" s="510">
        <v>12.03</v>
      </c>
      <c r="F10" s="510">
        <f t="shared" si="0"/>
        <v>24.06</v>
      </c>
      <c r="G10" s="709"/>
      <c r="H10" s="709"/>
    </row>
    <row r="11" spans="1:8" ht="15.75" customHeight="1">
      <c r="A11" s="708"/>
      <c r="B11" s="509" t="s">
        <v>444</v>
      </c>
      <c r="C11" s="511" t="s">
        <v>461</v>
      </c>
      <c r="D11" s="509">
        <v>4</v>
      </c>
      <c r="E11" s="510">
        <v>8.7200000000000006</v>
      </c>
      <c r="F11" s="510">
        <f t="shared" si="0"/>
        <v>34.880000000000003</v>
      </c>
      <c r="G11" s="709"/>
      <c r="H11" s="709"/>
    </row>
    <row r="12" spans="1:8" ht="15.75" customHeight="1">
      <c r="A12" s="708"/>
      <c r="B12" s="509" t="s">
        <v>462</v>
      </c>
      <c r="C12" s="511" t="s">
        <v>463</v>
      </c>
      <c r="D12" s="509">
        <v>1</v>
      </c>
      <c r="E12" s="510">
        <v>70.11</v>
      </c>
      <c r="F12" s="510">
        <f t="shared" si="0"/>
        <v>70.11</v>
      </c>
      <c r="G12" s="709"/>
      <c r="H12" s="709"/>
    </row>
    <row r="13" spans="1:8" ht="15.75" customHeight="1">
      <c r="A13" s="708" t="s">
        <v>464</v>
      </c>
      <c r="B13" s="509" t="s">
        <v>465</v>
      </c>
      <c r="C13" s="511" t="s">
        <v>466</v>
      </c>
      <c r="D13" s="509">
        <v>4</v>
      </c>
      <c r="E13" s="510">
        <v>72.290000000000006</v>
      </c>
      <c r="F13" s="510">
        <f t="shared" ref="F13:F19" si="1">D13*E13</f>
        <v>289.16000000000003</v>
      </c>
      <c r="G13" s="709">
        <f>SUM(F13:F19)</f>
        <v>777.36000000000013</v>
      </c>
      <c r="H13" s="710">
        <f>G13/12</f>
        <v>64.780000000000015</v>
      </c>
    </row>
    <row r="14" spans="1:8" ht="15.75" customHeight="1">
      <c r="A14" s="708"/>
      <c r="B14" s="509" t="s">
        <v>457</v>
      </c>
      <c r="C14" s="511" t="s">
        <v>467</v>
      </c>
      <c r="D14" s="509">
        <v>2</v>
      </c>
      <c r="E14" s="510">
        <v>73.53</v>
      </c>
      <c r="F14" s="510">
        <f t="shared" si="1"/>
        <v>147.06</v>
      </c>
      <c r="G14" s="709"/>
      <c r="H14" s="709"/>
    </row>
    <row r="15" spans="1:8" ht="15.75" customHeight="1">
      <c r="A15" s="708"/>
      <c r="B15" s="509" t="s">
        <v>468</v>
      </c>
      <c r="C15" s="511" t="s">
        <v>469</v>
      </c>
      <c r="D15" s="509">
        <v>2</v>
      </c>
      <c r="E15" s="510">
        <v>16.07</v>
      </c>
      <c r="F15" s="510">
        <f t="shared" si="1"/>
        <v>32.14</v>
      </c>
      <c r="G15" s="709"/>
      <c r="H15" s="709"/>
    </row>
    <row r="16" spans="1:8" ht="15.75" customHeight="1">
      <c r="A16" s="708"/>
      <c r="B16" s="509" t="s">
        <v>470</v>
      </c>
      <c r="C16" s="511" t="s">
        <v>471</v>
      </c>
      <c r="D16" s="509">
        <v>2</v>
      </c>
      <c r="E16" s="510">
        <v>72.290000000000006</v>
      </c>
      <c r="F16" s="510">
        <f t="shared" si="1"/>
        <v>144.58000000000001</v>
      </c>
      <c r="G16" s="709"/>
      <c r="H16" s="709"/>
    </row>
    <row r="17" spans="1:8" ht="15.75" customHeight="1">
      <c r="A17" s="708"/>
      <c r="B17" s="509" t="s">
        <v>444</v>
      </c>
      <c r="C17" s="511" t="s">
        <v>461</v>
      </c>
      <c r="D17" s="509">
        <v>4</v>
      </c>
      <c r="E17" s="510">
        <v>6.74</v>
      </c>
      <c r="F17" s="510">
        <f t="shared" si="1"/>
        <v>26.96</v>
      </c>
      <c r="G17" s="709"/>
      <c r="H17" s="709"/>
    </row>
    <row r="18" spans="1:8" ht="15.75" customHeight="1">
      <c r="A18" s="708"/>
      <c r="B18" s="509" t="s">
        <v>472</v>
      </c>
      <c r="C18" s="511" t="s">
        <v>473</v>
      </c>
      <c r="D18" s="509">
        <v>1</v>
      </c>
      <c r="E18" s="510">
        <v>114.7</v>
      </c>
      <c r="F18" s="510">
        <f t="shared" si="1"/>
        <v>114.7</v>
      </c>
      <c r="G18" s="709"/>
      <c r="H18" s="709"/>
    </row>
    <row r="19" spans="1:8" ht="15.75" customHeight="1">
      <c r="A19" s="708"/>
      <c r="B19" s="509" t="s">
        <v>474</v>
      </c>
      <c r="C19" s="511" t="s">
        <v>475</v>
      </c>
      <c r="D19" s="509">
        <v>1</v>
      </c>
      <c r="E19" s="510">
        <v>22.76</v>
      </c>
      <c r="F19" s="510">
        <f t="shared" si="1"/>
        <v>22.76</v>
      </c>
      <c r="G19" s="709"/>
      <c r="H19" s="709"/>
    </row>
    <row r="20" spans="1:8" ht="15.75" customHeight="1">
      <c r="A20" s="506" t="s">
        <v>476</v>
      </c>
      <c r="B20" s="509" t="s">
        <v>477</v>
      </c>
      <c r="C20" s="511" t="s">
        <v>478</v>
      </c>
      <c r="D20" s="509">
        <v>4</v>
      </c>
      <c r="E20" s="510">
        <v>45.04</v>
      </c>
      <c r="F20" s="510">
        <f>E20*D20</f>
        <v>180.16</v>
      </c>
      <c r="G20" s="510">
        <f>SUM(F20)</f>
        <v>180.16</v>
      </c>
      <c r="H20" s="512">
        <f>G20/12</f>
        <v>15.013333333333334</v>
      </c>
    </row>
  </sheetData>
  <mergeCells count="9">
    <mergeCell ref="A13:A19"/>
    <mergeCell ref="G13:G19"/>
    <mergeCell ref="H13:H19"/>
    <mergeCell ref="A2:A6"/>
    <mergeCell ref="G2:G6"/>
    <mergeCell ref="H2:H6"/>
    <mergeCell ref="A7:A12"/>
    <mergeCell ref="G7:G12"/>
    <mergeCell ref="H7:H1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4472C4"/>
    <pageSetUpPr fitToPage="1"/>
  </sheetPr>
  <dimension ref="A1:AC23"/>
  <sheetViews>
    <sheetView zoomScaleNormal="100" workbookViewId="0"/>
  </sheetViews>
  <sheetFormatPr defaultColWidth="9.140625" defaultRowHeight="15"/>
  <cols>
    <col min="1" max="1" width="6.42578125" style="513" customWidth="1"/>
    <col min="2" max="2" width="28" style="513" customWidth="1"/>
    <col min="3" max="3" width="14.28515625" style="513" customWidth="1"/>
    <col min="4" max="4" width="13" style="513" customWidth="1"/>
    <col min="5" max="5" width="15.85546875" style="513" hidden="1" customWidth="1"/>
    <col min="6" max="9" width="15.85546875" style="513" customWidth="1"/>
    <col min="10" max="10" width="22.85546875" style="513" customWidth="1"/>
    <col min="11" max="11" width="22" style="513" customWidth="1"/>
    <col min="12" max="12" width="25.140625" style="513" customWidth="1"/>
    <col min="13" max="13" width="20.140625" style="513" customWidth="1"/>
    <col min="14" max="14" width="38.7109375" style="513" hidden="1" customWidth="1"/>
    <col min="15" max="15" width="38.28515625" style="513" hidden="1" customWidth="1"/>
    <col min="16" max="16" width="37.42578125" style="513" hidden="1" customWidth="1"/>
    <col min="17" max="17" width="45.5703125" style="513" hidden="1" customWidth="1"/>
    <col min="18" max="18" width="82.5703125" style="513" hidden="1" customWidth="1"/>
    <col min="19" max="19" width="9.140625" style="513" hidden="1"/>
    <col min="20" max="16384" width="9.140625" style="513"/>
  </cols>
  <sheetData>
    <row r="1" spans="1:21" ht="25.5" customHeight="1">
      <c r="A1" s="719"/>
      <c r="B1" s="719"/>
      <c r="C1" s="719"/>
      <c r="D1" s="719"/>
      <c r="E1" s="720" t="s">
        <v>479</v>
      </c>
      <c r="F1" s="721" t="s">
        <v>480</v>
      </c>
      <c r="G1" s="721" t="s">
        <v>481</v>
      </c>
      <c r="H1" s="721" t="s">
        <v>482</v>
      </c>
      <c r="I1" s="713" t="s">
        <v>483</v>
      </c>
      <c r="J1" s="714"/>
      <c r="K1" s="714"/>
      <c r="L1" s="714"/>
      <c r="M1" s="715"/>
      <c r="N1" s="715"/>
      <c r="O1" s="715"/>
      <c r="P1" s="715"/>
      <c r="Q1" s="715"/>
      <c r="R1" s="715"/>
    </row>
    <row r="2" spans="1:21" ht="9.75" customHeight="1">
      <c r="A2" s="719"/>
      <c r="B2" s="719"/>
      <c r="C2" s="719"/>
      <c r="D2" s="719"/>
      <c r="E2" s="720"/>
      <c r="F2" s="721"/>
      <c r="G2" s="721"/>
      <c r="H2" s="721"/>
      <c r="I2" s="713"/>
      <c r="J2" s="714"/>
      <c r="K2" s="714"/>
      <c r="L2" s="714"/>
      <c r="M2" s="715"/>
      <c r="N2" s="715"/>
      <c r="O2" s="715"/>
      <c r="P2" s="715"/>
      <c r="Q2" s="715"/>
      <c r="R2" s="715"/>
    </row>
    <row r="3" spans="1:21" ht="31.5" customHeight="1">
      <c r="A3" s="514" t="s">
        <v>368</v>
      </c>
      <c r="B3" s="515" t="s">
        <v>484</v>
      </c>
      <c r="C3" s="516" t="s">
        <v>485</v>
      </c>
      <c r="D3" s="517" t="s">
        <v>486</v>
      </c>
      <c r="E3" s="514" t="s">
        <v>487</v>
      </c>
      <c r="F3" s="514" t="s">
        <v>487</v>
      </c>
      <c r="G3" s="514" t="s">
        <v>487</v>
      </c>
      <c r="H3" s="514" t="s">
        <v>487</v>
      </c>
      <c r="I3" s="514" t="s">
        <v>487</v>
      </c>
      <c r="J3" s="518" t="s">
        <v>488</v>
      </c>
      <c r="K3" s="518" t="s">
        <v>489</v>
      </c>
      <c r="L3" s="518" t="s">
        <v>490</v>
      </c>
      <c r="M3" s="518" t="s">
        <v>491</v>
      </c>
      <c r="N3" s="518" t="s">
        <v>492</v>
      </c>
      <c r="O3" s="518" t="s">
        <v>493</v>
      </c>
      <c r="P3" s="518" t="s">
        <v>494</v>
      </c>
      <c r="Q3" s="518" t="s">
        <v>495</v>
      </c>
      <c r="R3" s="518" t="s">
        <v>496</v>
      </c>
    </row>
    <row r="4" spans="1:21" ht="21" customHeight="1">
      <c r="A4" s="519"/>
      <c r="B4" s="716" t="s">
        <v>497</v>
      </c>
      <c r="C4" s="716"/>
      <c r="D4" s="716"/>
      <c r="E4" s="717"/>
      <c r="F4" s="717"/>
      <c r="G4" s="717"/>
      <c r="H4" s="717"/>
      <c r="I4" s="717"/>
      <c r="J4" s="717"/>
      <c r="K4" s="717"/>
      <c r="L4" s="717"/>
      <c r="M4" s="718"/>
      <c r="N4" s="718"/>
      <c r="O4" s="718"/>
      <c r="P4" s="718"/>
      <c r="Q4" s="718"/>
      <c r="R4" s="718"/>
    </row>
    <row r="5" spans="1:21" ht="17.25" customHeight="1">
      <c r="A5" s="514">
        <v>1</v>
      </c>
      <c r="B5" s="520" t="s">
        <v>498</v>
      </c>
      <c r="C5" s="520" t="s">
        <v>499</v>
      </c>
      <c r="D5" s="520">
        <v>1</v>
      </c>
      <c r="E5" s="521"/>
      <c r="F5" s="522">
        <v>2574.37</v>
      </c>
      <c r="G5" s="522">
        <v>3268.85</v>
      </c>
      <c r="H5" s="521">
        <v>2938.52</v>
      </c>
      <c r="I5" s="521">
        <v>3007.45</v>
      </c>
      <c r="J5" s="523">
        <f>COUNTIF(E5:I5, "&gt;0")</f>
        <v>4</v>
      </c>
      <c r="K5" s="524">
        <f>AVERAGEIF(E5:I5, "&gt;0")</f>
        <v>2947.2974999999997</v>
      </c>
      <c r="L5" s="524">
        <f>K5*D5</f>
        <v>2947.2974999999997</v>
      </c>
      <c r="M5" s="525">
        <f t="array" ref="M5">_xlfn.STDEV.P(IF(E5:I5&gt;0,E5:I5))</f>
        <v>248.0757436122081</v>
      </c>
      <c r="N5" s="524">
        <f>K5-M5</f>
        <v>2699.2217563877916</v>
      </c>
      <c r="O5" s="524">
        <f>K5+M5</f>
        <v>3195.3732436122077</v>
      </c>
      <c r="P5" s="525">
        <f>SUMIFS((E5:I5),(E5:I5),"&gt;="&amp;K5,(E5:I5),"&lt;="&amp;L5)</f>
        <v>0</v>
      </c>
      <c r="Q5" s="523">
        <f>COUNTIFS((D5:I5),"&gt;="&amp;K5,(D5:I5),"&lt;="&amp;L5)</f>
        <v>0</v>
      </c>
      <c r="R5" s="526" t="e">
        <f>P5/Q5</f>
        <v>#DIV/0!</v>
      </c>
    </row>
    <row r="6" spans="1:21" ht="17.25" customHeight="1">
      <c r="A6" s="711" t="s">
        <v>500</v>
      </c>
      <c r="B6" s="711"/>
      <c r="C6" s="711"/>
      <c r="D6" s="711"/>
      <c r="E6" s="711"/>
      <c r="F6" s="711"/>
      <c r="G6" s="711"/>
      <c r="H6" s="711"/>
      <c r="I6" s="711"/>
      <c r="J6" s="712">
        <f>SUM(L5)</f>
        <v>2947.2974999999997</v>
      </c>
      <c r="K6" s="712"/>
      <c r="L6" s="712"/>
      <c r="M6" s="527"/>
      <c r="N6" s="527"/>
      <c r="O6" s="527"/>
      <c r="P6" s="527"/>
      <c r="Q6" s="527"/>
      <c r="R6" s="527"/>
    </row>
    <row r="7" spans="1:21">
      <c r="A7" s="528"/>
      <c r="B7" s="528"/>
      <c r="C7" s="528"/>
      <c r="D7" s="529"/>
      <c r="E7" s="529"/>
      <c r="F7" s="529"/>
      <c r="G7" s="529"/>
      <c r="H7" s="529"/>
      <c r="I7" s="529"/>
      <c r="J7" s="528"/>
      <c r="K7" s="528"/>
      <c r="L7" s="528"/>
      <c r="M7" s="528"/>
      <c r="N7" s="528"/>
      <c r="O7" s="528"/>
      <c r="P7" s="528"/>
      <c r="Q7" s="528"/>
      <c r="R7" s="528"/>
    </row>
    <row r="8" spans="1:21">
      <c r="E8" s="530"/>
    </row>
    <row r="9" spans="1:21">
      <c r="G9" s="530"/>
    </row>
    <row r="11" spans="1:21">
      <c r="D11" s="530"/>
      <c r="K11" s="531"/>
    </row>
    <row r="14" spans="1:21">
      <c r="I14" s="531"/>
    </row>
    <row r="16" spans="1:21">
      <c r="U16" s="513" t="s">
        <v>501</v>
      </c>
    </row>
    <row r="17" spans="13:29" ht="30" customHeight="1">
      <c r="AC17" s="532" t="s">
        <v>502</v>
      </c>
    </row>
    <row r="23" spans="13:29" ht="30" customHeight="1">
      <c r="M23" s="532" t="s">
        <v>502</v>
      </c>
    </row>
  </sheetData>
  <mergeCells count="14">
    <mergeCell ref="A6:I6"/>
    <mergeCell ref="J6:L6"/>
    <mergeCell ref="I1:I2"/>
    <mergeCell ref="J1:L2"/>
    <mergeCell ref="M1:R2"/>
    <mergeCell ref="B4:D4"/>
    <mergeCell ref="E4:I4"/>
    <mergeCell ref="J4:L4"/>
    <mergeCell ref="M4:R4"/>
    <mergeCell ref="A1:D2"/>
    <mergeCell ref="E1:E2"/>
    <mergeCell ref="F1:F2"/>
    <mergeCell ref="G1:G2"/>
    <mergeCell ref="H1:H2"/>
  </mergeCells>
  <printOptions horizontalCentered="1" verticalCentered="1"/>
  <pageMargins left="0.25" right="0.25" top="0.75" bottom="0.75" header="0.511811023622047" footer="0.511811023622047"/>
  <pageSetup paperSize="9" fitToHeight="0" orientation="landscape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16"/>
  <sheetViews>
    <sheetView zoomScaleNormal="100" workbookViewId="0"/>
  </sheetViews>
  <sheetFormatPr defaultColWidth="8.7109375" defaultRowHeight="15"/>
  <cols>
    <col min="1" max="1" width="5.28515625" style="36" customWidth="1"/>
    <col min="2" max="2" width="95" customWidth="1"/>
    <col min="3" max="3" width="20.42578125" customWidth="1"/>
    <col min="4" max="4" width="14.7109375" style="36" customWidth="1"/>
    <col min="5" max="5" width="14.7109375" style="27" customWidth="1"/>
    <col min="6" max="6" width="14.85546875" style="36" customWidth="1"/>
    <col min="7" max="7" width="15.5703125" style="36" customWidth="1"/>
    <col min="8" max="9" width="14.85546875" style="36" customWidth="1"/>
    <col min="10" max="11" width="18.7109375" style="36" customWidth="1"/>
    <col min="12" max="12" width="18.5703125" style="36" customWidth="1"/>
    <col min="13" max="13" width="18.7109375" customWidth="1"/>
    <col min="14" max="14" width="11.85546875" customWidth="1"/>
  </cols>
  <sheetData>
    <row r="1" spans="1:14" ht="23.25" customHeight="1">
      <c r="A1" s="724" t="s">
        <v>503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</row>
    <row r="2" spans="1:14">
      <c r="A2" s="725"/>
      <c r="B2" s="725"/>
      <c r="C2" s="725"/>
      <c r="D2" s="725"/>
      <c r="E2" s="725"/>
      <c r="F2" s="725"/>
      <c r="G2" s="725"/>
      <c r="H2" s="725"/>
      <c r="I2" s="725"/>
      <c r="J2" s="725"/>
      <c r="K2" s="725"/>
      <c r="L2" s="725"/>
      <c r="M2" s="725"/>
    </row>
    <row r="3" spans="1:14" ht="45" customHeight="1">
      <c r="A3" s="533" t="s">
        <v>504</v>
      </c>
      <c r="B3" s="533" t="s">
        <v>505</v>
      </c>
      <c r="C3" s="533" t="s">
        <v>506</v>
      </c>
      <c r="D3" s="533" t="s">
        <v>507</v>
      </c>
      <c r="E3" s="534" t="s">
        <v>508</v>
      </c>
      <c r="F3" s="534" t="s">
        <v>509</v>
      </c>
      <c r="G3" s="534" t="s">
        <v>510</v>
      </c>
      <c r="H3" s="534" t="s">
        <v>511</v>
      </c>
      <c r="I3" s="534" t="s">
        <v>512</v>
      </c>
      <c r="J3" s="534" t="s">
        <v>513</v>
      </c>
      <c r="K3" s="534" t="s">
        <v>514</v>
      </c>
      <c r="L3" s="534" t="s">
        <v>515</v>
      </c>
      <c r="M3" s="534" t="s">
        <v>516</v>
      </c>
    </row>
    <row r="4" spans="1:14" s="171" customFormat="1" ht="30.75" customHeight="1">
      <c r="A4" s="535">
        <v>1</v>
      </c>
      <c r="B4" s="536" t="s">
        <v>517</v>
      </c>
      <c r="C4" s="537" t="s">
        <v>518</v>
      </c>
      <c r="D4" s="535">
        <v>2</v>
      </c>
      <c r="E4" s="538">
        <v>1490</v>
      </c>
      <c r="F4" s="538">
        <f>E4*D4</f>
        <v>2980</v>
      </c>
      <c r="G4" s="538" t="s">
        <v>519</v>
      </c>
      <c r="H4" s="535">
        <v>120</v>
      </c>
      <c r="I4" s="539">
        <v>0.1</v>
      </c>
      <c r="J4" s="540">
        <f>ROUND(E4*I4,2)</f>
        <v>149</v>
      </c>
      <c r="K4" s="540">
        <f>ROUND(F4*0.1,2)</f>
        <v>298</v>
      </c>
      <c r="L4" s="540">
        <f>ROUND((E4-J4)/H4,2)</f>
        <v>11.18</v>
      </c>
      <c r="M4" s="541">
        <f>ROUND((F4-K4)/H4,2)</f>
        <v>22.35</v>
      </c>
    </row>
    <row r="5" spans="1:14" ht="23.25" customHeight="1">
      <c r="A5" s="726" t="s">
        <v>520</v>
      </c>
      <c r="B5" s="726"/>
      <c r="C5" s="542" t="s">
        <v>518</v>
      </c>
      <c r="D5" s="543" t="s">
        <v>518</v>
      </c>
      <c r="E5" s="543" t="s">
        <v>518</v>
      </c>
      <c r="F5" s="544">
        <f>SUM(F4:F4)</f>
        <v>2980</v>
      </c>
      <c r="G5" s="544" t="s">
        <v>518</v>
      </c>
      <c r="H5" s="543" t="s">
        <v>518</v>
      </c>
      <c r="I5" s="543" t="s">
        <v>518</v>
      </c>
      <c r="J5" s="545">
        <f>SUM(J4:J4)</f>
        <v>149</v>
      </c>
      <c r="K5" s="545">
        <f>SUM(K4:K4)</f>
        <v>298</v>
      </c>
      <c r="L5" s="545">
        <f>SUM(L4:L4)</f>
        <v>11.18</v>
      </c>
      <c r="M5" s="545">
        <f>SUM(M4:M4)</f>
        <v>22.35</v>
      </c>
    </row>
    <row r="6" spans="1:14" ht="23.25" customHeight="1">
      <c r="B6" s="546"/>
      <c r="C6" s="546"/>
      <c r="D6" s="546"/>
      <c r="E6" s="546"/>
      <c r="F6" s="546"/>
      <c r="G6" s="722" t="s">
        <v>521</v>
      </c>
      <c r="H6" s="722"/>
      <c r="I6" s="722"/>
      <c r="J6" s="722"/>
      <c r="K6" s="722"/>
      <c r="L6" s="722"/>
      <c r="M6" s="545">
        <f>M5</f>
        <v>22.35</v>
      </c>
    </row>
    <row r="7" spans="1:14" ht="23.25" customHeight="1">
      <c r="B7" s="546"/>
      <c r="C7" s="546"/>
      <c r="D7" s="546"/>
      <c r="E7" s="546"/>
      <c r="F7" s="546"/>
      <c r="G7" s="722" t="s">
        <v>522</v>
      </c>
      <c r="H7" s="722"/>
      <c r="I7" s="722"/>
      <c r="J7" s="722"/>
      <c r="K7" s="722"/>
      <c r="L7" s="722"/>
      <c r="M7" s="542">
        <v>145</v>
      </c>
    </row>
    <row r="8" spans="1:14" ht="23.25" customHeight="1">
      <c r="B8" s="546"/>
      <c r="C8" s="546"/>
      <c r="D8" s="546"/>
      <c r="E8" s="546"/>
      <c r="F8" s="546"/>
      <c r="G8" s="722" t="s">
        <v>523</v>
      </c>
      <c r="H8" s="722"/>
      <c r="I8" s="722"/>
      <c r="J8" s="722"/>
      <c r="K8" s="722"/>
      <c r="L8" s="722"/>
      <c r="M8" s="545">
        <f>M6/M7</f>
        <v>0.15413793103448276</v>
      </c>
    </row>
    <row r="9" spans="1:14" ht="23.25" customHeight="1">
      <c r="B9" s="546"/>
      <c r="C9" s="546"/>
      <c r="D9" s="546"/>
      <c r="E9" s="546"/>
      <c r="F9" s="546"/>
      <c r="M9" s="170"/>
    </row>
    <row r="10" spans="1:14" ht="23.25" customHeight="1">
      <c r="B10" s="546"/>
      <c r="C10" s="546"/>
      <c r="D10" s="546"/>
      <c r="E10" s="546"/>
      <c r="F10" s="546"/>
      <c r="M10" s="170"/>
      <c r="N10" s="170"/>
    </row>
    <row r="11" spans="1:14">
      <c r="M11" s="170"/>
    </row>
    <row r="12" spans="1:14" hidden="1">
      <c r="B12" s="547" t="s">
        <v>222</v>
      </c>
      <c r="C12" s="547"/>
    </row>
    <row r="13" spans="1:14" hidden="1">
      <c r="B13" s="548" t="s">
        <v>524</v>
      </c>
      <c r="C13" s="548"/>
    </row>
    <row r="14" spans="1:14" ht="39.75" customHeight="1">
      <c r="A14" s="723" t="s">
        <v>525</v>
      </c>
      <c r="B14" s="723"/>
      <c r="C14" s="723"/>
      <c r="D14" s="723"/>
      <c r="E14" s="723"/>
      <c r="F14" s="723"/>
      <c r="G14" s="723"/>
      <c r="H14" s="723"/>
      <c r="I14" s="723"/>
      <c r="J14" s="723"/>
      <c r="K14" s="723"/>
      <c r="L14" s="723"/>
      <c r="M14" s="723"/>
    </row>
    <row r="16" spans="1:14">
      <c r="M16" s="170"/>
    </row>
  </sheetData>
  <autoFilter ref="A3:M10" xr:uid="{00000000-0009-0000-0000-000008000000}"/>
  <mergeCells count="7">
    <mergeCell ref="G8:L8"/>
    <mergeCell ref="A14:M14"/>
    <mergeCell ref="A1:M1"/>
    <mergeCell ref="A2:M2"/>
    <mergeCell ref="A5:B5"/>
    <mergeCell ref="G6:L6"/>
    <mergeCell ref="G7:L7"/>
  </mergeCells>
  <printOptions horizontalCentered="1"/>
  <pageMargins left="0.31527777777777799" right="0.31527777777777799" top="0.83194444444444504" bottom="0.78749999999999998" header="0.31527777777777799" footer="0.511811023622047"/>
  <pageSetup paperSize="9" fitToHeight="0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18E9D7836DBF44A2BAE8526ACE9B92" ma:contentTypeVersion="3" ma:contentTypeDescription="Create a new document." ma:contentTypeScope="" ma:versionID="6e9ca5d6a1f487501a4e374395ef9cfe">
  <xsd:schema xmlns:xsd="http://www.w3.org/2001/XMLSchema" xmlns:xs="http://www.w3.org/2001/XMLSchema" xmlns:p="http://schemas.microsoft.com/office/2006/metadata/properties" xmlns:ns2="f3ff8ec6-a60e-4476-b467-b136487ed8de" targetNamespace="http://schemas.microsoft.com/office/2006/metadata/properties" ma:root="true" ma:fieldsID="0e323359497ba128c30a70218906ca6c" ns2:_="">
    <xsd:import namespace="f3ff8ec6-a60e-4476-b467-b136487ed8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ff8ec6-a60e-4476-b467-b136487ed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978B38-1C62-49D7-91AA-8380A01EAD2F}"/>
</file>

<file path=customXml/itemProps2.xml><?xml version="1.0" encoding="utf-8"?>
<ds:datastoreItem xmlns:ds="http://schemas.openxmlformats.org/officeDocument/2006/customXml" ds:itemID="{26C3775B-E513-4DD6-AF2A-2AC02C65F6A3}"/>
</file>

<file path=customXml/itemProps3.xml><?xml version="1.0" encoding="utf-8"?>
<ds:datastoreItem xmlns:ds="http://schemas.openxmlformats.org/officeDocument/2006/customXml" ds:itemID="{363EC46B-71F2-42D9-9405-8B6DC43E84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Alexandre Machry</dc:creator>
  <cp:keywords/>
  <dc:description/>
  <cp:lastModifiedBy/>
  <cp:revision>0</cp:revision>
  <dcterms:created xsi:type="dcterms:W3CDTF">2015-06-05T18:19:34Z</dcterms:created>
  <dcterms:modified xsi:type="dcterms:W3CDTF">2026-05-26T15:19:31Z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0x010100C518E9D7836DBF44A2BAE8526ACE9B92</vt:lpwstr>
  </property>
  <property fmtid="{D5CDD505-2E9C-101B-9397-08002B2CF9AE}" pid="3" name="MediaServiceImageTags">
    <vt:lpwstr/>
  </property>
</Properties>
</file>